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95" yWindow="375" windowWidth="13500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<sst xmlns="http://schemas.openxmlformats.org/spreadsheetml/2006/main" count="166" uniqueCount="113">
  <si>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</si>
  <si>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</si>
  <si>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</si>
  <si>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</si>
  <si>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</si>
  <si>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</si>
  <si>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</si>
  <si>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</si>
  <si>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</si>
  <si>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</si>
  <si>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</si>
  <si>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</si>
  <si>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</si>
  <si>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</si>
  <si>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</si>
  <si>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</si>
  <si>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</si>
  <si>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</si>
  <si>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</si>
  <si>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</si>
  <si>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</si>
  <si>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</si>
  <si>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</si>
  <si>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</si>
  <si>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</si>
  <si>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</si>
  <si>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</si>
  <si>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</si>
  <si>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</si>
  <si>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</si>
  <si>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</si>
  <si>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</si>
  <si>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</si>
  <si>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</si>
  <si>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</si>
  <si>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</si>
  <si>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</si>
  <si>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</si>
  <si>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</si>
  <si>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</si>
  <si>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</si>
  <si>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</si>
  <si>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</si>
  <si>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</si>
  <si>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</si>
  <si>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</si>
  <si>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</si>
  <si>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</si>
  <si>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</si>
  <si>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</si>
  <si>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</si>
  <si>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</si>
  <si>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</si>
  <si>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</si>
  <si>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</si>
  <si>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</si>
  <si>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</si>
  <si>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</si>
  <si>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</si>
  <si>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</si>
  <si>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</si>
  <si>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</si>
  <si>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</si>
  <si>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</si>
  <si>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</si>
  <si>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</si>
  <si>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</si>
  <si>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</si>
  <si>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</si>
  <si>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</si>
  <si>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</si>
  <si>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</si>
  <si>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</si>
  <si>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</si>
  <si>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</si>
  <si>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</si>
  <si>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</si>
  <si>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</si>
  <si>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</si>
  <si>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</si>
  <si>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</si>
  <si>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</si>
  <si>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</si>
  <si>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</si>
  <si>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</si>
  <si>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</si>
  <si>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</si>
  <si>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</si>
  <si>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</si>
  <si>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</si>
  <si>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</si>
  <si>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</si>
  <si>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</si>
  <si>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</si>
  <si>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</si>
  <si>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</si>
  <si>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</si>
  <si>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</si>
  <si>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</si>
  <si>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</si>
  <si>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</si>
  <si>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</si>
  <si>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</si>
  <si>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</si>
  <si>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</si>
  <si>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</si>
  <si>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</si>
  <si>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</si>
  <si>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</si>
  <si>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8 місяців</t>
  </si>
  <si>
    <t>План на 9 місяців, тис.грн.</t>
  </si>
  <si>
    <t>Відхилення від  плану 9 місяців, тис.грн.</t>
  </si>
  <si>
    <t>Аналіз використання коштів загального фонду міського бюджету станом на 04.09.2018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</si>
</sst>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140199.79999999996</c:v>
                </c:pt>
                <c:pt idx="1">
                  <c:v>132658.11</c:v>
                </c:pt>
                <c:pt idx="2">
                  <c:v>1455.5000000000002</c:v>
                </c:pt>
                <c:pt idx="3">
                  <c:v>6086.189999999973</c:v>
                </c:pt>
              </c:numCache>
            </c:numRef>
          </c:val>
          <c:shape val="box"/>
        </c:ser>
        <c:shape val="box"/>
        <c:axId val="42327567"/>
        <c:axId val="45403784"/>
      </c:bar3D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03784"/>
        <c:crosses val="autoZero"/>
        <c:auto val="1"/>
        <c:lblOffset val="100"/>
        <c:tickLblSkip val="1"/>
        <c:noMultiLvlLbl val="0"/>
      </c:catAx>
      <c:valAx>
        <c:axId val="45403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7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826057.9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25030.79999999999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516296.2</c:v>
                </c:pt>
                <c:pt idx="1">
                  <c:v>174571.59999999998</c:v>
                </c:pt>
                <c:pt idx="2">
                  <c:v>423163.2000000002</c:v>
                </c:pt>
                <c:pt idx="3">
                  <c:v>21.3</c:v>
                </c:pt>
                <c:pt idx="4">
                  <c:v>20268.3</c:v>
                </c:pt>
                <c:pt idx="5">
                  <c:v>52587.79999999999</c:v>
                </c:pt>
                <c:pt idx="6">
                  <c:v>7873.9</c:v>
                </c:pt>
                <c:pt idx="7">
                  <c:v>12381.699999999832</c:v>
                </c:pt>
              </c:numCache>
            </c:numRef>
          </c:val>
          <c:shape val="box"/>
        </c:ser>
        <c:shape val="box"/>
        <c:axId val="5980873"/>
        <c:axId val="53827858"/>
      </c:bar3DChart>
      <c:cat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259214.69999999998</c:v>
                </c:pt>
                <c:pt idx="1">
                  <c:v>164074.80000000005</c:v>
                </c:pt>
                <c:pt idx="2">
                  <c:v>259214.69999999998</c:v>
                </c:pt>
              </c:numCache>
            </c:numRef>
          </c:val>
          <c:shape val="box"/>
        </c:ser>
        <c:shape val="box"/>
        <c:axId val="14688675"/>
        <c:axId val="65089212"/>
      </c:bar3D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8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14494.2</c:v>
                </c:pt>
                <c:pt idx="1">
                  <c:v>8334.400000000001</c:v>
                </c:pt>
                <c:pt idx="2">
                  <c:v>59.6</c:v>
                </c:pt>
                <c:pt idx="3">
                  <c:v>1009.0999999999998</c:v>
                </c:pt>
                <c:pt idx="4">
                  <c:v>460.19999999999993</c:v>
                </c:pt>
                <c:pt idx="5">
                  <c:v>34.2</c:v>
                </c:pt>
                <c:pt idx="6">
                  <c:v>4596.7</c:v>
                </c:pt>
              </c:numCache>
            </c:numRef>
          </c:val>
          <c:shape val="box"/>
        </c:ser>
        <c:shape val="box"/>
        <c:axId val="48931997"/>
        <c:axId val="37734790"/>
      </c:bar3D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34790"/>
        <c:crosses val="autoZero"/>
        <c:auto val="1"/>
        <c:lblOffset val="100"/>
        <c:tickLblSkip val="1"/>
        <c:noMultiLvlLbl val="0"/>
      </c:catAx>
      <c:valAx>
        <c:axId val="37734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1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15.28435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13513.21565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20246.5</c:v>
                </c:pt>
                <c:pt idx="1">
                  <c:v>12003.6</c:v>
                </c:pt>
                <c:pt idx="3">
                  <c:v>518.8</c:v>
                </c:pt>
                <c:pt idx="4">
                  <c:v>524.1000000000001</c:v>
                </c:pt>
                <c:pt idx="5">
                  <c:v>880</c:v>
                </c:pt>
                <c:pt idx="6">
                  <c:v>6319.999999999999</c:v>
                </c:pt>
              </c:numCache>
            </c:numRef>
          </c:val>
          <c:shape val="box"/>
        </c:ser>
        <c:shape val="box"/>
        <c:axId val="4068791"/>
        <c:axId val="36619120"/>
      </c:bar3DChart>
      <c:catAx>
        <c:axId val="406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19120"/>
        <c:crosses val="autoZero"/>
        <c:auto val="1"/>
        <c:lblOffset val="100"/>
        <c:tickLblSkip val="2"/>
        <c:noMultiLvlLbl val="0"/>
      </c:catAx>
      <c:valAx>
        <c:axId val="36619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8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5629.3</c:v>
                </c:pt>
                <c:pt idx="1">
                  <c:v>1979.3000000000004</c:v>
                </c:pt>
                <c:pt idx="2">
                  <c:v>391.1</c:v>
                </c:pt>
                <c:pt idx="3">
                  <c:v>227.6999999999999</c:v>
                </c:pt>
                <c:pt idx="4">
                  <c:v>2732.9</c:v>
                </c:pt>
                <c:pt idx="5">
                  <c:v>298.30000000000007</c:v>
                </c:pt>
              </c:numCache>
            </c:numRef>
          </c:val>
          <c:shape val="box"/>
        </c:ser>
        <c:shape val="box"/>
        <c:axId val="61136625"/>
        <c:axId val="13358714"/>
      </c:bar3D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6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26609.999999999996</c:v>
                </c:pt>
              </c:numCache>
            </c:numRef>
          </c:val>
          <c:shape val="box"/>
        </c:ser>
        <c:shape val="box"/>
        <c:axId val="53119563"/>
        <c:axId val="8314020"/>
      </c:bar3D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826057.9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516296.2</c:v>
                </c:pt>
                <c:pt idx="1">
                  <c:v>259214.69999999998</c:v>
                </c:pt>
                <c:pt idx="2">
                  <c:v>14494.2</c:v>
                </c:pt>
                <c:pt idx="3">
                  <c:v>20246.5</c:v>
                </c:pt>
                <c:pt idx="4">
                  <c:v>5629.3</c:v>
                </c:pt>
                <c:pt idx="5">
                  <c:v>140199.79999999996</c:v>
                </c:pt>
                <c:pt idx="6">
                  <c:v>26609.999999999996</c:v>
                </c:pt>
              </c:numCache>
            </c:numRef>
          </c:val>
          <c:shape val="box"/>
        </c:ser>
        <c:shape val="box"/>
        <c:axId val="7717317"/>
        <c:axId val="2346990"/>
      </c:bar3D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114.48435</c:v>
                </c:pt>
                <c:pt idx="5">
                  <c:v>1086009.8156499993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587546.71</c:v>
                </c:pt>
                <c:pt idx="1">
                  <c:v>65125.799999999974</c:v>
                </c:pt>
                <c:pt idx="2">
                  <c:v>21279.299999999996</c:v>
                </c:pt>
                <c:pt idx="3">
                  <c:v>19086.000000000004</c:v>
                </c:pt>
                <c:pt idx="4">
                  <c:v>22</c:v>
                </c:pt>
                <c:pt idx="5">
                  <c:v>580386.4899999999</c:v>
                </c:pt>
              </c:numCache>
            </c:numRef>
          </c:val>
          <c:shape val="box"/>
        </c:ser>
        <c:shape val="box"/>
        <c:axId val="21122911"/>
        <c:axId val="55888472"/>
      </c:bar3D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37" sqref="Q137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2" t="s">
        <v>112</v>
      </c>
      <c r="B1" s="172"/>
      <c r="C1" s="172"/>
      <c r="D1" s="172"/>
      <c r="E1" s="172"/>
      <c r="F1" s="172"/>
      <c r="G1" s="172"/>
      <c r="H1" s="172"/>
      <c r="I1" s="172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6" t="s">
        <v>40</v>
      </c>
      <c r="B3" s="179" t="s">
        <v>110</v>
      </c>
      <c r="C3" s="173" t="s">
        <v>106</v>
      </c>
      <c r="D3" s="173" t="s">
        <v>22</v>
      </c>
      <c r="E3" s="173" t="s">
        <v>21</v>
      </c>
      <c r="F3" s="173" t="s">
        <v>109</v>
      </c>
      <c r="G3" s="173" t="s">
        <v>107</v>
      </c>
      <c r="H3" s="173" t="s">
        <v>111</v>
      </c>
      <c r="I3" s="173" t="s">
        <v>108</v>
      </c>
    </row>
    <row r="4" spans="1:9" ht="24.75" customHeight="1">
      <c r="A4" s="177"/>
      <c r="B4" s="180"/>
      <c r="C4" s="174"/>
      <c r="D4" s="174"/>
      <c r="E4" s="174"/>
      <c r="F4" s="174"/>
      <c r="G4" s="174"/>
      <c r="H4" s="174"/>
      <c r="I4" s="174"/>
    </row>
    <row r="5" spans="1:10" ht="39" customHeight="1" thickBot="1">
      <c r="A5" s="178"/>
      <c r="B5" s="181"/>
      <c r="C5" s="175"/>
      <c r="D5" s="175"/>
      <c r="E5" s="175"/>
      <c r="F5" s="175"/>
      <c r="G5" s="175"/>
      <c r="H5" s="175"/>
      <c r="I5" s="175"/>
      <c r="J5" s="93"/>
    </row>
    <row r="6" spans="1:11" ht="18.75" thickBot="1">
      <c r="A6" s="20" t="s">
        <v>26</v>
      </c>
      <c r="B6" s="38">
        <v>609103</v>
      </c>
      <c r="C6" s="39">
        <f>826775+13431.5+510-13431.5+16-2334+20.8+1070.1</f>
        <v>826057.9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</f>
        <v>516296.2</v>
      </c>
      <c r="E6" s="3">
        <f>D6/D154*100</f>
        <v>40.54322510497695</v>
      </c>
      <c r="F6" s="3">
        <f>D6/B6*100</f>
        <v>84.76336514513966</v>
      </c>
      <c r="G6" s="3">
        <f aca="true" t="shared" si="0" ref="G6:G43">D6/C6*100</f>
        <v>62.50121208210708</v>
      </c>
      <c r="H6" s="40">
        <f>B6-D6</f>
        <v>92806.79999999999</v>
      </c>
      <c r="I6" s="40">
        <f aca="true" t="shared" si="1" ref="I6:I43">C6-D6</f>
        <v>309761.7</v>
      </c>
      <c r="J6" s="165"/>
      <c r="K6" s="152"/>
    </row>
    <row r="7" spans="1:12" s="94" customFormat="1" ht="18.75">
      <c r="A7" s="139" t="s">
        <v>81</v>
      </c>
      <c r="B7" s="140">
        <v>200980.3</v>
      </c>
      <c r="C7" s="141">
        <v>262517.6</v>
      </c>
      <c r="D7" s="142">
        <f>8282.7+10875.2+9132.6+9963.6+4.3+9215.1+9968.6+9459.9+11450.4+9572.3+23759.4-0.1+3644+36528.9+8511.9+179.9+764+816.4+0.1+3426.1+9016.3</f>
        <v>174571.59999999998</v>
      </c>
      <c r="E7" s="143">
        <f>D7/D6*100</f>
        <v>33.81229611994045</v>
      </c>
      <c r="F7" s="143">
        <f>D7/B7*100</f>
        <v>86.86005543826931</v>
      </c>
      <c r="G7" s="143">
        <f>D7/C7*100</f>
        <v>66.49900806650678</v>
      </c>
      <c r="H7" s="142">
        <f>B7-D7</f>
        <v>26408.70000000001</v>
      </c>
      <c r="I7" s="142">
        <f t="shared" si="1"/>
        <v>87946</v>
      </c>
      <c r="J7" s="167"/>
      <c r="K7" s="152"/>
      <c r="L7" s="138"/>
    </row>
    <row r="8" spans="1:12" s="93" customFormat="1" ht="18">
      <c r="A8" s="101" t="s">
        <v>3</v>
      </c>
      <c r="B8" s="125">
        <v>490814.651</v>
      </c>
      <c r="C8" s="126">
        <f>649221.9+8415.5-2000</f>
        <v>655637.4</v>
      </c>
      <c r="D8" s="103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</f>
        <v>423163.2000000002</v>
      </c>
      <c r="E8" s="105">
        <f>D8/D6*100</f>
        <v>81.96132375175338</v>
      </c>
      <c r="F8" s="105">
        <f>D8/B8*100</f>
        <v>86.21649723329065</v>
      </c>
      <c r="G8" s="105">
        <f t="shared" si="0"/>
        <v>64.54226070690906</v>
      </c>
      <c r="H8" s="103">
        <f>B8-D8</f>
        <v>67651.45099999983</v>
      </c>
      <c r="I8" s="103">
        <f t="shared" si="1"/>
        <v>232474.19999999984</v>
      </c>
      <c r="J8" s="165"/>
      <c r="K8" s="152"/>
      <c r="L8" s="138"/>
    </row>
    <row r="9" spans="1:12" s="93" customFormat="1" ht="18">
      <c r="A9" s="101" t="s">
        <v>2</v>
      </c>
      <c r="B9" s="125">
        <v>51.6</v>
      </c>
      <c r="C9" s="126">
        <v>97.7</v>
      </c>
      <c r="D9" s="103">
        <f>3.4+5.4+0.8+4.1+3.6+0.3+0.3+3.4</f>
        <v>21.3</v>
      </c>
      <c r="E9" s="127">
        <f>D9/D6*100</f>
        <v>0.0041255387895552985</v>
      </c>
      <c r="F9" s="105">
        <f>D9/B9*100</f>
        <v>41.27906976744186</v>
      </c>
      <c r="G9" s="105">
        <f t="shared" si="0"/>
        <v>21.8014329580348</v>
      </c>
      <c r="H9" s="103">
        <f aca="true" t="shared" si="2" ref="H9:H43">B9-D9</f>
        <v>30.3</v>
      </c>
      <c r="I9" s="103">
        <f t="shared" si="1"/>
        <v>76.4</v>
      </c>
      <c r="J9" s="165"/>
      <c r="K9" s="152"/>
      <c r="L9" s="138"/>
    </row>
    <row r="10" spans="1:12" s="93" customFormat="1" ht="18">
      <c r="A10" s="101" t="s">
        <v>1</v>
      </c>
      <c r="B10" s="125">
        <v>31145.849</v>
      </c>
      <c r="C10" s="126">
        <f>52816.3-8415.5-19.2</f>
        <v>44381.600000000006</v>
      </c>
      <c r="D10" s="144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</f>
        <v>20268.3</v>
      </c>
      <c r="E10" s="105">
        <f>D10/D6*100</f>
        <v>3.9257116360724718</v>
      </c>
      <c r="F10" s="105">
        <f aca="true" t="shared" si="3" ref="F10:F41">D10/B10*100</f>
        <v>65.07544552726753</v>
      </c>
      <c r="G10" s="105">
        <f t="shared" si="0"/>
        <v>45.66824990536618</v>
      </c>
      <c r="H10" s="103">
        <f t="shared" si="2"/>
        <v>10877.548999999999</v>
      </c>
      <c r="I10" s="103">
        <f t="shared" si="1"/>
        <v>24113.300000000007</v>
      </c>
      <c r="J10" s="165"/>
      <c r="K10" s="152"/>
      <c r="L10" s="138"/>
    </row>
    <row r="11" spans="1:12" s="93" customFormat="1" ht="18">
      <c r="A11" s="101" t="s">
        <v>0</v>
      </c>
      <c r="B11" s="125">
        <v>55264.7</v>
      </c>
      <c r="C11" s="126">
        <v>88172.4</v>
      </c>
      <c r="D11" s="145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</f>
        <v>52587.79999999999</v>
      </c>
      <c r="E11" s="105">
        <f>D11/D6*100</f>
        <v>10.185587265604509</v>
      </c>
      <c r="F11" s="105">
        <f t="shared" si="3"/>
        <v>95.1562208787888</v>
      </c>
      <c r="G11" s="105">
        <f t="shared" si="0"/>
        <v>59.64201949816494</v>
      </c>
      <c r="H11" s="103">
        <f t="shared" si="2"/>
        <v>2676.9000000000087</v>
      </c>
      <c r="I11" s="103">
        <f t="shared" si="1"/>
        <v>35584.600000000006</v>
      </c>
      <c r="J11" s="165"/>
      <c r="K11" s="152"/>
      <c r="L11" s="138"/>
    </row>
    <row r="12" spans="1:12" s="93" customFormat="1" ht="18">
      <c r="A12" s="101" t="s">
        <v>14</v>
      </c>
      <c r="B12" s="125">
        <v>9366.9</v>
      </c>
      <c r="C12" s="126">
        <v>12738</v>
      </c>
      <c r="D12" s="103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5">
        <f>D12/D6*100</f>
        <v>1.5250741725389416</v>
      </c>
      <c r="F12" s="105">
        <f t="shared" si="3"/>
        <v>84.06089528018875</v>
      </c>
      <c r="G12" s="105">
        <f t="shared" si="0"/>
        <v>61.814256555189196</v>
      </c>
      <c r="H12" s="103">
        <f>B12-D12</f>
        <v>1493</v>
      </c>
      <c r="I12" s="103">
        <f t="shared" si="1"/>
        <v>4864.1</v>
      </c>
      <c r="J12" s="165"/>
      <c r="K12" s="152"/>
      <c r="L12" s="138"/>
    </row>
    <row r="13" spans="1:12" s="93" customFormat="1" ht="18.75" thickBot="1">
      <c r="A13" s="101" t="s">
        <v>27</v>
      </c>
      <c r="B13" s="126">
        <f>B6-B8-B9-B10-B11-B12</f>
        <v>22459.29999999998</v>
      </c>
      <c r="C13" s="126">
        <f>C6-C8-C9-C10-C11-C12</f>
        <v>25030.79999999999</v>
      </c>
      <c r="D13" s="126">
        <f>D6-D8-D9-D10-D11-D12</f>
        <v>12381.699999999832</v>
      </c>
      <c r="E13" s="105">
        <f>D13/D6*100</f>
        <v>2.398177635241133</v>
      </c>
      <c r="F13" s="105">
        <f t="shared" si="3"/>
        <v>55.12950091944025</v>
      </c>
      <c r="G13" s="105">
        <f t="shared" si="0"/>
        <v>49.4658580628659</v>
      </c>
      <c r="H13" s="103">
        <f t="shared" si="2"/>
        <v>10077.60000000015</v>
      </c>
      <c r="I13" s="103">
        <f t="shared" si="1"/>
        <v>12649.100000000157</v>
      </c>
      <c r="J13" s="165"/>
      <c r="K13" s="152"/>
      <c r="L13" s="138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7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7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7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7"/>
      <c r="K17" s="11"/>
      <c r="L17" s="11"/>
      <c r="M17" s="11"/>
    </row>
    <row r="18" spans="1:11" ht="18.75" thickBot="1">
      <c r="A18" s="20" t="s">
        <v>19</v>
      </c>
      <c r="B18" s="38">
        <v>299946.0055</v>
      </c>
      <c r="C18" s="39">
        <f>424151.5+750.3+185.6</f>
        <v>425087.39999999997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</f>
        <v>259214.69999999998</v>
      </c>
      <c r="E18" s="3">
        <f>D18/D154*100</f>
        <v>20.35536951970413</v>
      </c>
      <c r="F18" s="3">
        <f>D18/B18*100</f>
        <v>86.42045409736252</v>
      </c>
      <c r="G18" s="3">
        <f t="shared" si="0"/>
        <v>60.97915393399099</v>
      </c>
      <c r="H18" s="40">
        <f>B18-D18</f>
        <v>40731.305500000046</v>
      </c>
      <c r="I18" s="40">
        <f t="shared" si="1"/>
        <v>165872.69999999998</v>
      </c>
      <c r="J18" s="165"/>
      <c r="K18" s="152"/>
    </row>
    <row r="19" spans="1:13" s="94" customFormat="1" ht="18.75">
      <c r="A19" s="139" t="s">
        <v>82</v>
      </c>
      <c r="B19" s="140">
        <v>180037.504</v>
      </c>
      <c r="C19" s="141">
        <f>226186+750.3+185.6</f>
        <v>227121.9</v>
      </c>
      <c r="D19" s="142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</f>
        <v>164074.80000000005</v>
      </c>
      <c r="E19" s="143">
        <f>D19/D18*100</f>
        <v>63.29687320973697</v>
      </c>
      <c r="F19" s="143">
        <f t="shared" si="3"/>
        <v>91.13367845846166</v>
      </c>
      <c r="G19" s="143">
        <f t="shared" si="0"/>
        <v>72.24085392029569</v>
      </c>
      <c r="H19" s="142">
        <f t="shared" si="2"/>
        <v>15962.70399999994</v>
      </c>
      <c r="I19" s="142">
        <f t="shared" si="1"/>
        <v>63047.09999999995</v>
      </c>
      <c r="J19" s="167"/>
      <c r="K19" s="152"/>
      <c r="L19" s="93"/>
      <c r="M19" s="93"/>
    </row>
    <row r="20" spans="1:11" s="93" customFormat="1" ht="18" hidden="1">
      <c r="A20" s="101" t="s">
        <v>5</v>
      </c>
      <c r="B20" s="125"/>
      <c r="C20" s="126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J20" s="165"/>
      <c r="K20" s="152">
        <f>C20-B20</f>
        <v>0</v>
      </c>
    </row>
    <row r="21" spans="1:11" s="93" customFormat="1" ht="18" hidden="1">
      <c r="A21" s="101" t="s">
        <v>2</v>
      </c>
      <c r="B21" s="125"/>
      <c r="C21" s="126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J21" s="165"/>
      <c r="K21" s="152">
        <f>C21-B21</f>
        <v>0</v>
      </c>
    </row>
    <row r="22" spans="1:11" s="93" customFormat="1" ht="18" hidden="1">
      <c r="A22" s="101" t="s">
        <v>1</v>
      </c>
      <c r="B22" s="125"/>
      <c r="C22" s="126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J22" s="165"/>
      <c r="K22" s="152">
        <f>C22-B22</f>
        <v>0</v>
      </c>
    </row>
    <row r="23" spans="1:11" s="93" customFormat="1" ht="18" hidden="1">
      <c r="A23" s="101" t="s">
        <v>0</v>
      </c>
      <c r="B23" s="125"/>
      <c r="C23" s="126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J23" s="165"/>
      <c r="K23" s="152">
        <f>C23-B23</f>
        <v>0</v>
      </c>
    </row>
    <row r="24" spans="1:11" s="93" customFormat="1" ht="18" hidden="1">
      <c r="A24" s="101" t="s">
        <v>14</v>
      </c>
      <c r="B24" s="125"/>
      <c r="C24" s="126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J24" s="165"/>
      <c r="K24" s="152">
        <f>C24-B24</f>
        <v>0</v>
      </c>
    </row>
    <row r="25" spans="1:11" s="93" customFormat="1" ht="18.75" thickBot="1">
      <c r="A25" s="101" t="s">
        <v>27</v>
      </c>
      <c r="B25" s="126">
        <f>B18</f>
        <v>299946.0055</v>
      </c>
      <c r="C25" s="126">
        <f>C18</f>
        <v>425087.39999999997</v>
      </c>
      <c r="D25" s="126">
        <f>D18</f>
        <v>259214.69999999998</v>
      </c>
      <c r="E25" s="105">
        <f>D25/D18*100</f>
        <v>100</v>
      </c>
      <c r="F25" s="105">
        <f t="shared" si="3"/>
        <v>86.42045409736252</v>
      </c>
      <c r="G25" s="105">
        <f t="shared" si="0"/>
        <v>60.97915393399099</v>
      </c>
      <c r="H25" s="103">
        <f t="shared" si="2"/>
        <v>40731.305500000046</v>
      </c>
      <c r="I25" s="103">
        <f t="shared" si="1"/>
        <v>165872.69999999998</v>
      </c>
      <c r="J25" s="165"/>
      <c r="K25" s="152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5"/>
      <c r="K26" s="152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5"/>
      <c r="K27" s="152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5"/>
      <c r="K28" s="152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5"/>
      <c r="K29" s="152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5"/>
      <c r="K30" s="152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5"/>
      <c r="K31" s="152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5"/>
      <c r="K32" s="152">
        <f t="shared" si="4"/>
        <v>0</v>
      </c>
    </row>
    <row r="33" spans="1:11" ht="18.75" thickBot="1">
      <c r="A33" s="20" t="s">
        <v>17</v>
      </c>
      <c r="B33" s="38">
        <v>17992.2288</v>
      </c>
      <c r="C33" s="39">
        <f>24805.1-17.2</f>
        <v>24787.899999999998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</f>
        <v>14494.2</v>
      </c>
      <c r="E33" s="3">
        <f>D33/D154*100</f>
        <v>1.1381869812649346</v>
      </c>
      <c r="F33" s="3">
        <f>D33/B33*100</f>
        <v>80.55811295596685</v>
      </c>
      <c r="G33" s="3">
        <f t="shared" si="0"/>
        <v>58.47288394740984</v>
      </c>
      <c r="H33" s="40">
        <f t="shared" si="2"/>
        <v>3498.0288</v>
      </c>
      <c r="I33" s="40">
        <f t="shared" si="1"/>
        <v>10293.699999999997</v>
      </c>
      <c r="J33" s="168"/>
      <c r="K33" s="152"/>
    </row>
    <row r="34" spans="1:11" s="93" customFormat="1" ht="18">
      <c r="A34" s="101" t="s">
        <v>3</v>
      </c>
      <c r="B34" s="125">
        <v>9786.6978</v>
      </c>
      <c r="C34" s="126">
        <v>12906.6</v>
      </c>
      <c r="D34" s="103">
        <f>364.6+548.1+389.3+522.2+63+395+556.7+63+391.3+512.8+63+394.6+664.3+89.8+0.3+456.7+632.3+12+89.8+485+19+3.6+623.1+89.8+9.9+419.4+475.8</f>
        <v>8334.400000000001</v>
      </c>
      <c r="E34" s="105">
        <f>D34/D33*100</f>
        <v>57.50162133819045</v>
      </c>
      <c r="F34" s="105">
        <f t="shared" si="3"/>
        <v>85.16049203031488</v>
      </c>
      <c r="G34" s="105">
        <f t="shared" si="0"/>
        <v>64.57471371236423</v>
      </c>
      <c r="H34" s="103">
        <f t="shared" si="2"/>
        <v>1452.2977999999985</v>
      </c>
      <c r="I34" s="103">
        <f t="shared" si="1"/>
        <v>4572.199999999999</v>
      </c>
      <c r="J34" s="165"/>
      <c r="K34" s="152"/>
    </row>
    <row r="35" spans="1:11" s="93" customFormat="1" ht="18">
      <c r="A35" s="101" t="s">
        <v>1</v>
      </c>
      <c r="B35" s="125">
        <v>59.646</v>
      </c>
      <c r="C35" s="126">
        <v>81.1</v>
      </c>
      <c r="D35" s="103">
        <f>6.8+8.7+11.6+32.5</f>
        <v>59.6</v>
      </c>
      <c r="E35" s="105">
        <f>D35/D33*100</f>
        <v>0.41119896234355807</v>
      </c>
      <c r="F35" s="105">
        <f t="shared" si="3"/>
        <v>99.92287831539416</v>
      </c>
      <c r="G35" s="105">
        <f t="shared" si="0"/>
        <v>73.48951911220716</v>
      </c>
      <c r="H35" s="103">
        <f t="shared" si="2"/>
        <v>0.045999999999999375</v>
      </c>
      <c r="I35" s="103">
        <f t="shared" si="1"/>
        <v>21.499999999999993</v>
      </c>
      <c r="J35" s="165"/>
      <c r="K35" s="152"/>
    </row>
    <row r="36" spans="1:11" s="93" customFormat="1" ht="18">
      <c r="A36" s="101" t="s">
        <v>0</v>
      </c>
      <c r="B36" s="125">
        <v>1073.221</v>
      </c>
      <c r="C36" s="126">
        <v>1783</v>
      </c>
      <c r="D36" s="103">
        <f>0.3+11.3+141.7+12.6+0.9+12.9+1.3+0.5+169.4+1.1+0.1+0.4+11.3+166.1+3.8+5.1+2.9+0.2+0.5+11.9+319.9+44.3+12.2+0.9-0.2+8.4+29.5+8.6+0.2+7.6+0.4+4.3+0.1+0.3+7.8+4.8+0.2+5.5</f>
        <v>1009.0999999999998</v>
      </c>
      <c r="E36" s="105">
        <f>D36/D33*100</f>
        <v>6.962095182900745</v>
      </c>
      <c r="F36" s="105">
        <f t="shared" si="3"/>
        <v>94.02536849353487</v>
      </c>
      <c r="G36" s="105">
        <f t="shared" si="0"/>
        <v>56.5956253505328</v>
      </c>
      <c r="H36" s="103">
        <f t="shared" si="2"/>
        <v>64.12100000000021</v>
      </c>
      <c r="I36" s="103">
        <f t="shared" si="1"/>
        <v>773.9000000000002</v>
      </c>
      <c r="J36" s="165"/>
      <c r="K36" s="152"/>
    </row>
    <row r="37" spans="1:12" s="94" customFormat="1" ht="18.75">
      <c r="A37" s="116" t="s">
        <v>7</v>
      </c>
      <c r="B37" s="136">
        <v>718.973</v>
      </c>
      <c r="C37" s="137">
        <v>1008</v>
      </c>
      <c r="D37" s="107">
        <f>44.8+25.1+1.6+0.5+2.7+1+6.3+8.5+2.5+36.6+1.5+4.5+23.6+4.1+106.1+32.6+9.7+2.5+4.3+1.9+2.2+5.9+0.2+124.8+6.7</f>
        <v>460.19999999999993</v>
      </c>
      <c r="E37" s="111">
        <f>D37/D33*100</f>
        <v>3.175063128699755</v>
      </c>
      <c r="F37" s="111">
        <f t="shared" si="3"/>
        <v>64.00796691948098</v>
      </c>
      <c r="G37" s="111">
        <f t="shared" si="0"/>
        <v>45.6547619047619</v>
      </c>
      <c r="H37" s="107">
        <f t="shared" si="2"/>
        <v>258.773</v>
      </c>
      <c r="I37" s="107">
        <f t="shared" si="1"/>
        <v>547.8000000000001</v>
      </c>
      <c r="J37" s="167"/>
      <c r="K37" s="152"/>
      <c r="L37" s="138"/>
    </row>
    <row r="38" spans="1:11" s="93" customFormat="1" ht="18">
      <c r="A38" s="101" t="s">
        <v>14</v>
      </c>
      <c r="B38" s="125">
        <v>34.2</v>
      </c>
      <c r="C38" s="126">
        <f>80.8+8.7</f>
        <v>89.5</v>
      </c>
      <c r="D38" s="126">
        <f>5.1+5.1+5.1+5.1+5.1+8.7</f>
        <v>34.2</v>
      </c>
      <c r="E38" s="105">
        <f>D38/D33*100</f>
        <v>0.2359564515461357</v>
      </c>
      <c r="F38" s="105">
        <f t="shared" si="3"/>
        <v>100</v>
      </c>
      <c r="G38" s="105">
        <f t="shared" si="0"/>
        <v>38.2122905027933</v>
      </c>
      <c r="H38" s="103">
        <f t="shared" si="2"/>
        <v>0</v>
      </c>
      <c r="I38" s="103">
        <f t="shared" si="1"/>
        <v>55.3</v>
      </c>
      <c r="J38" s="165"/>
      <c r="K38" s="152"/>
    </row>
    <row r="39" spans="1:11" s="93" customFormat="1" ht="18.75" thickBot="1">
      <c r="A39" s="101" t="s">
        <v>27</v>
      </c>
      <c r="B39" s="125">
        <f>B33-B34-B36-B37-B35-B38</f>
        <v>6319.491000000002</v>
      </c>
      <c r="C39" s="125">
        <f>C33-C34-C36-C37-C35-C38</f>
        <v>8919.699999999997</v>
      </c>
      <c r="D39" s="125">
        <f>D33-D34-D36-D37-D35-D38</f>
        <v>4596.7</v>
      </c>
      <c r="E39" s="105">
        <f>D39/D33*100</f>
        <v>31.714064936319353</v>
      </c>
      <c r="F39" s="105">
        <f t="shared" si="3"/>
        <v>72.7384531444067</v>
      </c>
      <c r="G39" s="105">
        <f t="shared" si="0"/>
        <v>51.53424442526096</v>
      </c>
      <c r="H39" s="103">
        <f>B39-D39</f>
        <v>1722.791000000002</v>
      </c>
      <c r="I39" s="103">
        <f t="shared" si="1"/>
        <v>4322.999999999997</v>
      </c>
      <c r="J39" s="165"/>
      <c r="K39" s="152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5"/>
      <c r="K40" s="152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5"/>
      <c r="K41" s="152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5"/>
      <c r="K42" s="152">
        <f>C42-B42</f>
        <v>0</v>
      </c>
    </row>
    <row r="43" spans="1:11" ht="19.5" thickBot="1">
      <c r="A43" s="12" t="s">
        <v>16</v>
      </c>
      <c r="B43" s="76">
        <v>1430.178</v>
      </c>
      <c r="C43" s="39">
        <f>1126.9+467</f>
        <v>1593.9</v>
      </c>
      <c r="D43" s="40">
        <f>63.9+1.1+0.6+70.8+0.5+48+6.7+2+13.7+10.4+20.2+0.7+37.4+27+181.7+0.2+2.1+7.5+10+0.2+3.3+24.2+12.6+1.5</f>
        <v>546.3</v>
      </c>
      <c r="E43" s="3">
        <f>D43/D154*100</f>
        <v>0.042899335449009514</v>
      </c>
      <c r="F43" s="3">
        <f>D43/B43*100</f>
        <v>38.19804248142538</v>
      </c>
      <c r="G43" s="3">
        <f t="shared" si="0"/>
        <v>34.27442123094296</v>
      </c>
      <c r="H43" s="40">
        <f t="shared" si="2"/>
        <v>883.8780000000002</v>
      </c>
      <c r="I43" s="40">
        <f t="shared" si="1"/>
        <v>1047.6000000000001</v>
      </c>
      <c r="J43" s="165"/>
      <c r="K43" s="152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5"/>
      <c r="K44" s="152"/>
    </row>
    <row r="45" spans="1:11" ht="18.75" thickBot="1">
      <c r="A45" s="20" t="s">
        <v>44</v>
      </c>
      <c r="B45" s="38">
        <v>10114.031</v>
      </c>
      <c r="C45" s="39">
        <v>13576.3</v>
      </c>
      <c r="D45" s="40">
        <f>237.1+562.8+52.3+349.2+679.9+375.9+891+78.3+327.4+13.5+670.2+386.5+179.9+781.7-0.1+25.5+366.5+16.5+692.2+3.8+389.3+707.6+15.1+379.9+4.5+611.9</f>
        <v>8798.4</v>
      </c>
      <c r="E45" s="3">
        <f>D45/D154*100</f>
        <v>0.6909125261112307</v>
      </c>
      <c r="F45" s="3">
        <f>D45/B45*100</f>
        <v>86.99202128211788</v>
      </c>
      <c r="G45" s="3">
        <f aca="true" t="shared" si="5" ref="G45:G76">D45/C45*100</f>
        <v>64.80705346817615</v>
      </c>
      <c r="H45" s="40">
        <f>B45-D45</f>
        <v>1315.6310000000012</v>
      </c>
      <c r="I45" s="40">
        <f aca="true" t="shared" si="6" ref="I45:I77">C45-D45</f>
        <v>4777.9</v>
      </c>
      <c r="J45" s="165"/>
      <c r="K45" s="152"/>
    </row>
    <row r="46" spans="1:11" s="93" customFormat="1" ht="18">
      <c r="A46" s="101" t="s">
        <v>3</v>
      </c>
      <c r="B46" s="125">
        <v>9220.134</v>
      </c>
      <c r="C46" s="126">
        <v>12256.4</v>
      </c>
      <c r="D46" s="103">
        <f>237.1+551.8+334.1+652.5+314.7+746.1+319.2+661.7+342.8+781.7+0.2-0.1+366.5+692.2+367.7+697.1+14.1+359.1+599.6</f>
        <v>8038.1</v>
      </c>
      <c r="E46" s="105">
        <f>D46/D45*100</f>
        <v>91.35865611929442</v>
      </c>
      <c r="F46" s="105">
        <f aca="true" t="shared" si="7" ref="F46:F74">D46/B46*100</f>
        <v>87.17986094345267</v>
      </c>
      <c r="G46" s="105">
        <f t="shared" si="5"/>
        <v>65.58287914885284</v>
      </c>
      <c r="H46" s="103">
        <f aca="true" t="shared" si="8" ref="H46:H74">B46-D46</f>
        <v>1182.0339999999997</v>
      </c>
      <c r="I46" s="103">
        <f t="shared" si="6"/>
        <v>4218.299999999999</v>
      </c>
      <c r="J46" s="165"/>
      <c r="K46" s="152"/>
    </row>
    <row r="47" spans="1:11" s="93" customFormat="1" ht="18">
      <c r="A47" s="101" t="s">
        <v>2</v>
      </c>
      <c r="B47" s="125">
        <v>0.758</v>
      </c>
      <c r="C47" s="126">
        <v>1.5</v>
      </c>
      <c r="D47" s="103">
        <f>0.7</f>
        <v>0.7</v>
      </c>
      <c r="E47" s="105">
        <f>D47/D45*100</f>
        <v>0.00795599199854519</v>
      </c>
      <c r="F47" s="105">
        <f t="shared" si="7"/>
        <v>92.34828496042215</v>
      </c>
      <c r="G47" s="105">
        <f t="shared" si="5"/>
        <v>46.666666666666664</v>
      </c>
      <c r="H47" s="103">
        <f t="shared" si="8"/>
        <v>0.05800000000000005</v>
      </c>
      <c r="I47" s="103">
        <f t="shared" si="6"/>
        <v>0.8</v>
      </c>
      <c r="J47" s="165"/>
      <c r="K47" s="152"/>
    </row>
    <row r="48" spans="1:11" s="93" customFormat="1" ht="18">
      <c r="A48" s="101" t="s">
        <v>1</v>
      </c>
      <c r="B48" s="125">
        <v>58.56</v>
      </c>
      <c r="C48" s="126">
        <v>98.9</v>
      </c>
      <c r="D48" s="103">
        <f>5.7+6.1+6.5+7.7+8.4+7+0.1</f>
        <v>41.5</v>
      </c>
      <c r="E48" s="105">
        <f>D48/D45*100</f>
        <v>0.47167666848517914</v>
      </c>
      <c r="F48" s="105">
        <f t="shared" si="7"/>
        <v>70.86748633879782</v>
      </c>
      <c r="G48" s="105">
        <f t="shared" si="5"/>
        <v>41.96157735085945</v>
      </c>
      <c r="H48" s="103">
        <f t="shared" si="8"/>
        <v>17.060000000000002</v>
      </c>
      <c r="I48" s="103">
        <f t="shared" si="6"/>
        <v>57.400000000000006</v>
      </c>
      <c r="J48" s="165"/>
      <c r="K48" s="152"/>
    </row>
    <row r="49" spans="1:11" s="93" customFormat="1" ht="18">
      <c r="A49" s="101" t="s">
        <v>0</v>
      </c>
      <c r="B49" s="125">
        <v>582.127</v>
      </c>
      <c r="C49" s="126">
        <v>879.8</v>
      </c>
      <c r="D49" s="103">
        <f>7.3+51.9+12.7-0.1+54.5+131.2+49.5+2.4+7.9+11.2+178.3+0.4+4.1+0.1+0.6+1.4+0.5+0.8+4.5+4.5</f>
        <v>523.6999999999999</v>
      </c>
      <c r="E49" s="105">
        <f>D49/D45*100</f>
        <v>5.952218585197308</v>
      </c>
      <c r="F49" s="105">
        <f t="shared" si="7"/>
        <v>89.9631867272949</v>
      </c>
      <c r="G49" s="105">
        <f t="shared" si="5"/>
        <v>59.524892020913846</v>
      </c>
      <c r="H49" s="103">
        <f t="shared" si="8"/>
        <v>58.42700000000002</v>
      </c>
      <c r="I49" s="103">
        <f t="shared" si="6"/>
        <v>356.1</v>
      </c>
      <c r="J49" s="165"/>
      <c r="K49" s="152"/>
    </row>
    <row r="50" spans="1:11" s="93" customFormat="1" ht="18.75" thickBot="1">
      <c r="A50" s="101" t="s">
        <v>27</v>
      </c>
      <c r="B50" s="126">
        <f>B45-B46-B49-B48-B47</f>
        <v>252.45200000000088</v>
      </c>
      <c r="C50" s="126">
        <f>C45-C46-C49-C48-C47</f>
        <v>339.6999999999997</v>
      </c>
      <c r="D50" s="126">
        <f>D45-D46-D49-D48-D47</f>
        <v>194.39999999999935</v>
      </c>
      <c r="E50" s="105">
        <f>D50/D45*100</f>
        <v>2.2094926350245427</v>
      </c>
      <c r="F50" s="105">
        <f t="shared" si="7"/>
        <v>77.00473753426341</v>
      </c>
      <c r="G50" s="105">
        <f t="shared" si="5"/>
        <v>57.22696496909023</v>
      </c>
      <c r="H50" s="103">
        <f t="shared" si="8"/>
        <v>58.05200000000153</v>
      </c>
      <c r="I50" s="103">
        <f t="shared" si="6"/>
        <v>145.30000000000035</v>
      </c>
      <c r="J50" s="165"/>
      <c r="K50" s="152"/>
    </row>
    <row r="51" spans="1:11" ht="18.75" thickBot="1">
      <c r="A51" s="20" t="s">
        <v>4</v>
      </c>
      <c r="B51" s="38">
        <v>27764.408</v>
      </c>
      <c r="C51" s="39">
        <f>37135.4+450-426</f>
        <v>37159.4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</f>
        <v>20246.5</v>
      </c>
      <c r="E51" s="3">
        <f>D51/D154*100</f>
        <v>1.5898982155745398</v>
      </c>
      <c r="F51" s="3">
        <f>D51/B51*100</f>
        <v>72.92249847358532</v>
      </c>
      <c r="G51" s="3">
        <f t="shared" si="5"/>
        <v>54.485540670732036</v>
      </c>
      <c r="H51" s="40">
        <f>B51-D51</f>
        <v>7517.907999999999</v>
      </c>
      <c r="I51" s="40">
        <f t="shared" si="6"/>
        <v>16912.9</v>
      </c>
      <c r="J51" s="165"/>
      <c r="K51" s="152"/>
    </row>
    <row r="52" spans="1:11" s="93" customFormat="1" ht="18">
      <c r="A52" s="101" t="s">
        <v>3</v>
      </c>
      <c r="B52" s="125">
        <v>14936.235</v>
      </c>
      <c r="C52" s="126">
        <v>20097.4</v>
      </c>
      <c r="D52" s="103">
        <f>632.9+34.3+767.3+737.6+710.6+649.6+792.4+1.6+643.1+825.6+650.1+947+1196.1+785.4+658.1+439+623.6+358.8+550.5</f>
        <v>12003.6</v>
      </c>
      <c r="E52" s="105">
        <f>D52/D51*100</f>
        <v>59.287284221964285</v>
      </c>
      <c r="F52" s="105">
        <f t="shared" si="7"/>
        <v>80.36563431145801</v>
      </c>
      <c r="G52" s="105">
        <f t="shared" si="5"/>
        <v>59.72712888234298</v>
      </c>
      <c r="H52" s="103">
        <f t="shared" si="8"/>
        <v>2932.635</v>
      </c>
      <c r="I52" s="103">
        <f t="shared" si="6"/>
        <v>8093.800000000001</v>
      </c>
      <c r="J52" s="165"/>
      <c r="K52" s="152"/>
    </row>
    <row r="53" spans="1:11" s="93" customFormat="1" ht="18">
      <c r="A53" s="101" t="s">
        <v>2</v>
      </c>
      <c r="B53" s="125">
        <v>5.53435</v>
      </c>
      <c r="C53" s="126">
        <f>13.9+1.38435</f>
        <v>15.28435</v>
      </c>
      <c r="D53" s="103"/>
      <c r="E53" s="105">
        <f>D53/D51*100</f>
        <v>0</v>
      </c>
      <c r="F53" s="105">
        <f>D53/B53*100</f>
        <v>0</v>
      </c>
      <c r="G53" s="105">
        <f t="shared" si="5"/>
        <v>0</v>
      </c>
      <c r="H53" s="103">
        <f t="shared" si="8"/>
        <v>5.53435</v>
      </c>
      <c r="I53" s="103">
        <f t="shared" si="6"/>
        <v>15.28435</v>
      </c>
      <c r="J53" s="165"/>
      <c r="K53" s="152"/>
    </row>
    <row r="54" spans="1:11" s="93" customFormat="1" ht="18">
      <c r="A54" s="101" t="s">
        <v>1</v>
      </c>
      <c r="B54" s="125">
        <v>725.37</v>
      </c>
      <c r="C54" s="126">
        <v>993.6</v>
      </c>
      <c r="D54" s="103">
        <f>0.2+4.2+9+4.7+9.6+6.3+43.2+2.7+18.4+3.8+23.8+5.3+12.2+43.2+26.7+3.8+22.4+0.4+59.7+30.3+3.3+19.2+7+2.9+21+4.4-0.4+4.8+2.2+3.6+32.5+6.4+7.8+23.5+0.7+4.2+10.2+2.2+1.8+2+15.6+1.8+2.2+4.1+5.9</f>
        <v>518.8</v>
      </c>
      <c r="E54" s="105">
        <f>D54/D51*100</f>
        <v>2.5624181957375347</v>
      </c>
      <c r="F54" s="105">
        <f t="shared" si="7"/>
        <v>71.5221197457849</v>
      </c>
      <c r="G54" s="105">
        <f t="shared" si="5"/>
        <v>52.21417069243156</v>
      </c>
      <c r="H54" s="103">
        <f t="shared" si="8"/>
        <v>206.57000000000005</v>
      </c>
      <c r="I54" s="103">
        <f t="shared" si="6"/>
        <v>474.80000000000007</v>
      </c>
      <c r="J54" s="165"/>
      <c r="K54" s="152"/>
    </row>
    <row r="55" spans="1:11" s="93" customFormat="1" ht="18">
      <c r="A55" s="101" t="s">
        <v>0</v>
      </c>
      <c r="B55" s="125">
        <v>706.155</v>
      </c>
      <c r="C55" s="126">
        <v>1219.9</v>
      </c>
      <c r="D55" s="103">
        <f>0.5+1+2.8+12.3+8.3+0.5+0.4+8.7+15+0.3+1.3+64.9+33.6+8.1+0.1+94.7+0.3+9.8+7.8+0.9+1.8+16.2+18.3+3.3+0.1+11.4+0.1+11.4+1.3+76.9+6.2+11.6+2.1+2.4+24+0.1+0.5+16.3+2.5+1.1+3.8+2.1+10.3+5.8+0.4+0.3+0.3+9.3+0.2+0.6+1.1-0.2+0.5+0.1+1+9.6</f>
        <v>524.1000000000001</v>
      </c>
      <c r="E55" s="105">
        <f>D55/D51*100</f>
        <v>2.588595559726373</v>
      </c>
      <c r="F55" s="105">
        <f t="shared" si="7"/>
        <v>74.21883297576314</v>
      </c>
      <c r="G55" s="105">
        <f t="shared" si="5"/>
        <v>42.962537912943695</v>
      </c>
      <c r="H55" s="103">
        <f t="shared" si="8"/>
        <v>182.05499999999984</v>
      </c>
      <c r="I55" s="103">
        <f t="shared" si="6"/>
        <v>695.8</v>
      </c>
      <c r="J55" s="165"/>
      <c r="K55" s="152"/>
    </row>
    <row r="56" spans="1:11" s="93" customFormat="1" ht="18">
      <c r="A56" s="101" t="s">
        <v>14</v>
      </c>
      <c r="B56" s="125">
        <v>990</v>
      </c>
      <c r="C56" s="126">
        <v>1320</v>
      </c>
      <c r="D56" s="126">
        <f>110+110+110+110+110+110+110+110</f>
        <v>880</v>
      </c>
      <c r="E56" s="105">
        <f>D56/D51*100</f>
        <v>4.34643024720322</v>
      </c>
      <c r="F56" s="105">
        <f>D56/B56*100</f>
        <v>88.88888888888889</v>
      </c>
      <c r="G56" s="105">
        <f>D56/C56*100</f>
        <v>66.66666666666666</v>
      </c>
      <c r="H56" s="103">
        <f t="shared" si="8"/>
        <v>110</v>
      </c>
      <c r="I56" s="103">
        <f t="shared" si="6"/>
        <v>440</v>
      </c>
      <c r="J56" s="165"/>
      <c r="K56" s="152"/>
    </row>
    <row r="57" spans="1:11" s="93" customFormat="1" ht="18.75" thickBot="1">
      <c r="A57" s="101" t="s">
        <v>27</v>
      </c>
      <c r="B57" s="126">
        <f>B51-B52-B55-B54-B53-B56</f>
        <v>10401.113649999998</v>
      </c>
      <c r="C57" s="126">
        <f>C51-C52-C55-C54-C53-C56</f>
        <v>13513.21565</v>
      </c>
      <c r="D57" s="126">
        <f>D51-D52-D55-D54-D53-D56</f>
        <v>6319.999999999999</v>
      </c>
      <c r="E57" s="105">
        <f>D57/D51*100</f>
        <v>31.21527177536858</v>
      </c>
      <c r="F57" s="105">
        <f t="shared" si="7"/>
        <v>60.76272419155809</v>
      </c>
      <c r="G57" s="105">
        <f t="shared" si="5"/>
        <v>46.769030878301706</v>
      </c>
      <c r="H57" s="103">
        <f>B57-D57</f>
        <v>4081.1136499999984</v>
      </c>
      <c r="I57" s="103">
        <f>C57-D57</f>
        <v>7193.215650000001</v>
      </c>
      <c r="J57" s="165"/>
      <c r="K57" s="152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7"/>
      <c r="K58" s="152">
        <f>C58-B58</f>
        <v>0</v>
      </c>
    </row>
    <row r="59" spans="1:11" ht="18.75" thickBot="1">
      <c r="A59" s="20" t="s">
        <v>6</v>
      </c>
      <c r="B59" s="38">
        <v>8531.851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</f>
        <v>5629.3</v>
      </c>
      <c r="E59" s="3">
        <f>D59/D154*100</f>
        <v>0.44205240535074003</v>
      </c>
      <c r="F59" s="3">
        <f>D59/B59*100</f>
        <v>65.97982079152578</v>
      </c>
      <c r="G59" s="3">
        <f t="shared" si="5"/>
        <v>58.659316841381326</v>
      </c>
      <c r="H59" s="40">
        <f>B59-D59</f>
        <v>2902.5510000000004</v>
      </c>
      <c r="I59" s="40">
        <f t="shared" si="6"/>
        <v>3967.3</v>
      </c>
      <c r="J59" s="165"/>
      <c r="K59" s="152"/>
    </row>
    <row r="60" spans="1:11" s="93" customFormat="1" ht="18">
      <c r="A60" s="101" t="s">
        <v>3</v>
      </c>
      <c r="B60" s="125">
        <v>2353.518</v>
      </c>
      <c r="C60" s="126">
        <v>3119.7</v>
      </c>
      <c r="D60" s="103">
        <f>77.7+79.1+76.9+40.5+47.3+155.9+45+29.2+85.8+95.3+38.3+30.7+89.8+79.1+80.7+178.9+50.9+35.4+119.2+73+83.9+167.9+42.3+43+65+68.5</f>
        <v>1979.3000000000004</v>
      </c>
      <c r="E60" s="105">
        <f>D60/D59*100</f>
        <v>35.16067717122911</v>
      </c>
      <c r="F60" s="105">
        <f t="shared" si="7"/>
        <v>84.0996329749762</v>
      </c>
      <c r="G60" s="105">
        <f t="shared" si="5"/>
        <v>63.44520306439724</v>
      </c>
      <c r="H60" s="103">
        <f t="shared" si="8"/>
        <v>374.2179999999996</v>
      </c>
      <c r="I60" s="103">
        <f t="shared" si="6"/>
        <v>1140.3999999999994</v>
      </c>
      <c r="J60" s="165"/>
      <c r="K60" s="152"/>
    </row>
    <row r="61" spans="1:11" s="93" customFormat="1" ht="18">
      <c r="A61" s="101" t="s">
        <v>1</v>
      </c>
      <c r="B61" s="125">
        <v>393.1</v>
      </c>
      <c r="C61" s="126">
        <f>360.7+32.4</f>
        <v>393.09999999999997</v>
      </c>
      <c r="D61" s="103">
        <f>127+93.7+101.3+69.1</f>
        <v>391.1</v>
      </c>
      <c r="E61" s="105">
        <f>D61/D59*100</f>
        <v>6.94757785159789</v>
      </c>
      <c r="F61" s="105">
        <f>D61/B61*100</f>
        <v>99.49122360722463</v>
      </c>
      <c r="G61" s="105">
        <f t="shared" si="5"/>
        <v>99.49122360722464</v>
      </c>
      <c r="H61" s="103">
        <f t="shared" si="8"/>
        <v>2</v>
      </c>
      <c r="I61" s="103">
        <f t="shared" si="6"/>
        <v>1.9999999999999432</v>
      </c>
      <c r="J61" s="165"/>
      <c r="K61" s="152"/>
    </row>
    <row r="62" spans="1:11" s="93" customFormat="1" ht="18">
      <c r="A62" s="101" t="s">
        <v>0</v>
      </c>
      <c r="B62" s="125">
        <v>248.915</v>
      </c>
      <c r="C62" s="126">
        <v>393.7</v>
      </c>
      <c r="D62" s="103">
        <f>10.9+43.2+13-3+39.2+5.7+50.2+3.5+0.2+29.7+2.5+1.8+22+0.1+0.7+2.1+0.1+0.1+2.2+0.1+0.1+2.1+1.2</f>
        <v>227.6999999999999</v>
      </c>
      <c r="E62" s="105">
        <f>D62/D59*100</f>
        <v>4.044907892633185</v>
      </c>
      <c r="F62" s="105">
        <f t="shared" si="7"/>
        <v>91.47701022437374</v>
      </c>
      <c r="G62" s="105">
        <f t="shared" si="5"/>
        <v>57.835915671831316</v>
      </c>
      <c r="H62" s="103">
        <f t="shared" si="8"/>
        <v>21.21500000000009</v>
      </c>
      <c r="I62" s="103">
        <f t="shared" si="6"/>
        <v>166.00000000000009</v>
      </c>
      <c r="J62" s="165"/>
      <c r="K62" s="152"/>
    </row>
    <row r="63" spans="1:11" s="93" customFormat="1" ht="18">
      <c r="A63" s="101" t="s">
        <v>14</v>
      </c>
      <c r="B63" s="125">
        <v>4866.6</v>
      </c>
      <c r="C63" s="126">
        <v>4866.6</v>
      </c>
      <c r="D63" s="103">
        <f>136+283.5+578.4+584+1151</f>
        <v>2732.9</v>
      </c>
      <c r="E63" s="105">
        <f>D63/D59*100</f>
        <v>48.547776810615886</v>
      </c>
      <c r="F63" s="105">
        <f t="shared" si="7"/>
        <v>56.156248715735835</v>
      </c>
      <c r="G63" s="105">
        <f t="shared" si="5"/>
        <v>56.156248715735835</v>
      </c>
      <c r="H63" s="103">
        <f t="shared" si="8"/>
        <v>2133.7000000000003</v>
      </c>
      <c r="I63" s="103">
        <f t="shared" si="6"/>
        <v>2133.7000000000003</v>
      </c>
      <c r="J63" s="165"/>
      <c r="K63" s="152"/>
    </row>
    <row r="64" spans="1:11" s="93" customFormat="1" ht="18.75" thickBot="1">
      <c r="A64" s="101" t="s">
        <v>27</v>
      </c>
      <c r="B64" s="126">
        <f>B59-B60-B62-B63-B61</f>
        <v>669.7180000000002</v>
      </c>
      <c r="C64" s="126">
        <f>C59-C60-C62-C63-C61</f>
        <v>823.5000000000005</v>
      </c>
      <c r="D64" s="126">
        <f>D59-D60-D62-D63-D61</f>
        <v>298.30000000000007</v>
      </c>
      <c r="E64" s="105">
        <f>D64/D59*100</f>
        <v>5.299060273923935</v>
      </c>
      <c r="F64" s="105">
        <f t="shared" si="7"/>
        <v>44.54113522407938</v>
      </c>
      <c r="G64" s="105">
        <f t="shared" si="5"/>
        <v>36.22343655130539</v>
      </c>
      <c r="H64" s="103">
        <f t="shared" si="8"/>
        <v>371.4180000000001</v>
      </c>
      <c r="I64" s="103">
        <f t="shared" si="6"/>
        <v>525.2000000000004</v>
      </c>
      <c r="J64" s="165"/>
      <c r="K64" s="152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7"/>
      <c r="K65" s="152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7"/>
      <c r="K66" s="152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7"/>
      <c r="K67" s="152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7"/>
      <c r="K68" s="152">
        <f>C68-B68</f>
        <v>0</v>
      </c>
    </row>
    <row r="69" spans="1:11" ht="18.75" thickBot="1">
      <c r="A69" s="20" t="s">
        <v>20</v>
      </c>
      <c r="B69" s="39">
        <f>B70+B71</f>
        <v>384.236</v>
      </c>
      <c r="C69" s="39">
        <f>C70+C71</f>
        <v>438.9</v>
      </c>
      <c r="D69" s="40">
        <f>D70+D71</f>
        <v>227</v>
      </c>
      <c r="E69" s="30">
        <f>D69/D154*100</f>
        <v>0.017825643688312576</v>
      </c>
      <c r="F69" s="3">
        <f>D69/B69*100</f>
        <v>59.07827481027286</v>
      </c>
      <c r="G69" s="3">
        <f t="shared" si="5"/>
        <v>51.720209614946455</v>
      </c>
      <c r="H69" s="40">
        <f>B69-D69</f>
        <v>157.236</v>
      </c>
      <c r="I69" s="40">
        <f t="shared" si="6"/>
        <v>211.89999999999998</v>
      </c>
      <c r="J69" s="165"/>
      <c r="K69" s="152"/>
    </row>
    <row r="70" spans="1:11" s="93" customFormat="1" ht="18">
      <c r="A70" s="101" t="s">
        <v>8</v>
      </c>
      <c r="B70" s="125">
        <v>226.963</v>
      </c>
      <c r="C70" s="126">
        <f>292.7-53.1-12</f>
        <v>227.6</v>
      </c>
      <c r="D70" s="103">
        <f>169.5+50+6+1.5</f>
        <v>227</v>
      </c>
      <c r="E70" s="105">
        <f>D70/D69*100</f>
        <v>100</v>
      </c>
      <c r="F70" s="105">
        <f t="shared" si="7"/>
        <v>100.01630221666088</v>
      </c>
      <c r="G70" s="105">
        <f t="shared" si="5"/>
        <v>99.73637961335677</v>
      </c>
      <c r="H70" s="103">
        <f t="shared" si="8"/>
        <v>-0.03700000000000614</v>
      </c>
      <c r="I70" s="103">
        <f t="shared" si="6"/>
        <v>0.5999999999999943</v>
      </c>
      <c r="J70" s="165"/>
      <c r="K70" s="152"/>
    </row>
    <row r="71" spans="1:11" s="93" customFormat="1" ht="18.75" thickBot="1">
      <c r="A71" s="101" t="s">
        <v>9</v>
      </c>
      <c r="B71" s="125">
        <v>157.273</v>
      </c>
      <c r="C71" s="126">
        <f>293.1-30-14-37.9+0.1</f>
        <v>211.3</v>
      </c>
      <c r="D71" s="103">
        <v>0</v>
      </c>
      <c r="E71" s="105">
        <f>D71/D70*100</f>
        <v>0</v>
      </c>
      <c r="F71" s="105">
        <f t="shared" si="7"/>
        <v>0</v>
      </c>
      <c r="G71" s="105">
        <f t="shared" si="5"/>
        <v>0</v>
      </c>
      <c r="H71" s="103">
        <f t="shared" si="8"/>
        <v>157.273</v>
      </c>
      <c r="I71" s="103">
        <f t="shared" si="6"/>
        <v>211.3</v>
      </c>
      <c r="J71" s="165"/>
      <c r="K71" s="152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5"/>
      <c r="K72" s="152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5"/>
      <c r="K73" s="152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5"/>
      <c r="K74" s="152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5"/>
      <c r="K75" s="152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5"/>
      <c r="K76" s="152"/>
    </row>
    <row r="77" spans="1:11" s="32" customFormat="1" ht="19.5" thickBot="1">
      <c r="A77" s="23" t="s">
        <v>13</v>
      </c>
      <c r="B77" s="46">
        <v>560</v>
      </c>
      <c r="C77" s="53">
        <f>17000-13500-1000</f>
        <v>2500</v>
      </c>
      <c r="D77" s="54"/>
      <c r="E77" s="34"/>
      <c r="F77" s="34"/>
      <c r="G77" s="34"/>
      <c r="H77" s="54">
        <f>B77-D77</f>
        <v>560</v>
      </c>
      <c r="I77" s="54">
        <f t="shared" si="6"/>
        <v>2500</v>
      </c>
      <c r="J77" s="167"/>
      <c r="K77" s="152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5"/>
      <c r="K78" s="152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5"/>
      <c r="K79" s="152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9"/>
      <c r="K80" s="152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9"/>
      <c r="K81" s="152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9"/>
      <c r="K82" s="152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9"/>
      <c r="K83" s="152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5"/>
      <c r="K84" s="152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5"/>
      <c r="K85" s="152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5"/>
      <c r="K86" s="152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5"/>
      <c r="K87" s="152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5"/>
      <c r="K88" s="152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5"/>
      <c r="K89" s="152"/>
    </row>
    <row r="90" spans="1:11" ht="19.5" thickBot="1">
      <c r="A90" s="12" t="s">
        <v>10</v>
      </c>
      <c r="B90" s="45">
        <v>160227.7</v>
      </c>
      <c r="C90" s="39">
        <f>200580.6+2044.4+100+113.7</f>
        <v>202838.7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</f>
        <v>140199.79999999996</v>
      </c>
      <c r="E90" s="3">
        <f>D90/D154*100</f>
        <v>11.009478766399493</v>
      </c>
      <c r="F90" s="3">
        <f aca="true" t="shared" si="11" ref="F90:F96">D90/B90*100</f>
        <v>87.50035106289359</v>
      </c>
      <c r="G90" s="3">
        <f t="shared" si="9"/>
        <v>69.11886144014922</v>
      </c>
      <c r="H90" s="40">
        <f aca="true" t="shared" si="12" ref="H90:H96">B90-D90</f>
        <v>20027.900000000052</v>
      </c>
      <c r="I90" s="40">
        <f t="shared" si="10"/>
        <v>62638.90000000005</v>
      </c>
      <c r="J90" s="165"/>
      <c r="K90" s="152"/>
    </row>
    <row r="91" spans="1:11" s="93" customFormat="1" ht="21.75" customHeight="1">
      <c r="A91" s="101" t="s">
        <v>3</v>
      </c>
      <c r="B91" s="125">
        <v>150150.2</v>
      </c>
      <c r="C91" s="126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</f>
        <v>132658.11</v>
      </c>
      <c r="E91" s="105">
        <f>D91/D90*100</f>
        <v>94.62075552176253</v>
      </c>
      <c r="F91" s="105">
        <f t="shared" si="11"/>
        <v>88.3502719277097</v>
      </c>
      <c r="G91" s="105">
        <f t="shared" si="9"/>
        <v>69.83722314905822</v>
      </c>
      <c r="H91" s="103">
        <f t="shared" si="12"/>
        <v>17492.090000000026</v>
      </c>
      <c r="I91" s="103">
        <f t="shared" si="10"/>
        <v>57295.19</v>
      </c>
      <c r="K91" s="152"/>
    </row>
    <row r="92" spans="1:11" s="93" customFormat="1" ht="18">
      <c r="A92" s="101" t="s">
        <v>25</v>
      </c>
      <c r="B92" s="125">
        <v>1831.275</v>
      </c>
      <c r="C92" s="126">
        <v>2776.4</v>
      </c>
      <c r="D92" s="103">
        <f>57.2+3.4+167+1.4+0.3+83.4+86.9+53.1+5.3+4.7+17+71.3+284.2+22.2+4.8+1.6+54.8+7+38.2+1.9+190+51.9+21+0.9+36.9+5.5+20.1+0.9+46.6+43.3-17.3+22+2.1+65.9</f>
        <v>1455.5000000000002</v>
      </c>
      <c r="E92" s="105">
        <f>D92/D90*100</f>
        <v>1.0381612527264665</v>
      </c>
      <c r="F92" s="105">
        <f t="shared" si="11"/>
        <v>79.48014361578683</v>
      </c>
      <c r="G92" s="105">
        <f t="shared" si="9"/>
        <v>52.42400230514336</v>
      </c>
      <c r="H92" s="103">
        <f t="shared" si="12"/>
        <v>375.77499999999986</v>
      </c>
      <c r="I92" s="103">
        <f t="shared" si="10"/>
        <v>1320.8999999999999</v>
      </c>
      <c r="K92" s="152"/>
    </row>
    <row r="93" spans="1:11" s="93" customFormat="1" ht="18" hidden="1">
      <c r="A93" s="101" t="s">
        <v>14</v>
      </c>
      <c r="B93" s="125"/>
      <c r="C93" s="126"/>
      <c r="D93" s="126"/>
      <c r="E93" s="127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K93" s="152">
        <f aca="true" t="shared" si="13" ref="K93:K101">C93-B93</f>
        <v>0</v>
      </c>
    </row>
    <row r="94" spans="1:11" s="93" customFormat="1" ht="18.75" thickBot="1">
      <c r="A94" s="101" t="s">
        <v>27</v>
      </c>
      <c r="B94" s="126">
        <f>B90-B91-B92-B93</f>
        <v>8246.225</v>
      </c>
      <c r="C94" s="126">
        <f>C90-C91-C92-C93</f>
        <v>10109.000000000024</v>
      </c>
      <c r="D94" s="126">
        <f>D90-D91-D92-D93</f>
        <v>6086.189999999973</v>
      </c>
      <c r="E94" s="105">
        <f>D94/D90*100</f>
        <v>4.341083225511003</v>
      </c>
      <c r="F94" s="105">
        <f t="shared" si="11"/>
        <v>73.80577173191337</v>
      </c>
      <c r="G94" s="105">
        <f>D94/C94*100</f>
        <v>60.2056583242651</v>
      </c>
      <c r="H94" s="103">
        <f t="shared" si="12"/>
        <v>2160.035000000027</v>
      </c>
      <c r="I94" s="103">
        <f>C94-D94</f>
        <v>4022.8100000000504</v>
      </c>
      <c r="K94" s="152"/>
    </row>
    <row r="95" spans="1:11" ht="18.75">
      <c r="A95" s="82" t="s">
        <v>12</v>
      </c>
      <c r="B95" s="91">
        <v>36331.62579</v>
      </c>
      <c r="C95" s="85">
        <f>46414.5+100+39.4+1153.5-64.6-244.3</f>
        <v>47398.5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</f>
        <v>26609.999999999996</v>
      </c>
      <c r="E95" s="81">
        <f>D95/D154*100</f>
        <v>2.0896051918325886</v>
      </c>
      <c r="F95" s="83">
        <f t="shared" si="11"/>
        <v>73.24197423426119</v>
      </c>
      <c r="G95" s="80">
        <f>D95/C95*100</f>
        <v>56.141017120794956</v>
      </c>
      <c r="H95" s="84">
        <f t="shared" si="12"/>
        <v>9721.625790000002</v>
      </c>
      <c r="I95" s="87">
        <f>C95-D95</f>
        <v>20788.500000000004</v>
      </c>
      <c r="J95" s="165"/>
      <c r="K95" s="152"/>
    </row>
    <row r="96" spans="1:11" s="93" customFormat="1" ht="18.75" thickBot="1">
      <c r="A96" s="128" t="s">
        <v>83</v>
      </c>
      <c r="B96" s="129">
        <v>8980.18364</v>
      </c>
      <c r="C96" s="130">
        <v>12814.2</v>
      </c>
      <c r="D96" s="131">
        <f>194.6+1234+3.4+0.5+79.6+1026.4+0.7+86.4+939.3+4.2+87.7+624.7+8+489.4+90.3+1.9+597.9+5.5+67.2+2.1+31.9+0.2+90.5+32.4+530.2+66+90.3+454.6+5.4+212.8+729.6</f>
        <v>7787.699999999998</v>
      </c>
      <c r="E96" s="132">
        <f>D96/D95*100</f>
        <v>29.266065388951517</v>
      </c>
      <c r="F96" s="133">
        <f t="shared" si="11"/>
        <v>86.72094371557861</v>
      </c>
      <c r="G96" s="134">
        <f>D96/C96*100</f>
        <v>60.77398511026828</v>
      </c>
      <c r="H96" s="135">
        <f t="shared" si="12"/>
        <v>1192.4836400000013</v>
      </c>
      <c r="I96" s="124">
        <f>C96-D96</f>
        <v>5026.500000000003</v>
      </c>
      <c r="J96" s="165"/>
      <c r="K96" s="152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5"/>
      <c r="K97" s="152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5"/>
      <c r="K98" s="152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5"/>
      <c r="K99" s="152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6"/>
      <c r="K100" s="152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5"/>
      <c r="K101" s="152">
        <f t="shared" si="13"/>
        <v>0</v>
      </c>
    </row>
    <row r="102" spans="1:11" s="32" customFormat="1" ht="19.5" thickBot="1">
      <c r="A102" s="12" t="s">
        <v>11</v>
      </c>
      <c r="B102" s="90">
        <v>10766.55742</v>
      </c>
      <c r="C102" s="70">
        <f>11266.5-91.2+1707.2+14.9+0.2</f>
        <v>12897.6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</f>
        <v>8444.999999999998</v>
      </c>
      <c r="E102" s="17">
        <f>D102/D154*100</f>
        <v>0.6631610614440514</v>
      </c>
      <c r="F102" s="17">
        <f>D102/B102*100</f>
        <v>78.43732839164107</v>
      </c>
      <c r="G102" s="17">
        <f aca="true" t="shared" si="14" ref="G102:G152">D102/C102*100</f>
        <v>65.47729810197245</v>
      </c>
      <c r="H102" s="65">
        <f aca="true" t="shared" si="15" ref="H102:H108">B102-D102</f>
        <v>2321.557420000001</v>
      </c>
      <c r="I102" s="65">
        <f aca="true" t="shared" si="16" ref="I102:I152">C102-D102</f>
        <v>4452.600000000002</v>
      </c>
      <c r="J102" s="167"/>
      <c r="K102" s="152"/>
    </row>
    <row r="103" spans="1:11" s="93" customFormat="1" ht="18.75" customHeight="1">
      <c r="A103" s="101" t="s">
        <v>3</v>
      </c>
      <c r="B103" s="117">
        <v>254.625</v>
      </c>
      <c r="C103" s="118">
        <v>363.8</v>
      </c>
      <c r="D103" s="118">
        <f>31.2+4.8+33.9+5.2+30.9+10.3+19.9+19.5</f>
        <v>155.7</v>
      </c>
      <c r="E103" s="119">
        <f>D103/D102*100</f>
        <v>1.843694493783304</v>
      </c>
      <c r="F103" s="105">
        <f>D103/B103*100</f>
        <v>61.14874815905743</v>
      </c>
      <c r="G103" s="119">
        <f>D103/C103*100</f>
        <v>42.79824079164376</v>
      </c>
      <c r="H103" s="118">
        <f t="shared" si="15"/>
        <v>98.92500000000001</v>
      </c>
      <c r="I103" s="118">
        <f t="shared" si="16"/>
        <v>208.10000000000002</v>
      </c>
      <c r="J103" s="165"/>
      <c r="K103" s="152"/>
    </row>
    <row r="104" spans="1:11" s="93" customFormat="1" ht="18">
      <c r="A104" s="120" t="s">
        <v>48</v>
      </c>
      <c r="B104" s="102">
        <v>8759.57164</v>
      </c>
      <c r="C104" s="103">
        <f>8949.2-91.2+1682.1+14.9</f>
        <v>10555</v>
      </c>
      <c r="D104" s="103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</f>
        <v>7439.200000000002</v>
      </c>
      <c r="E104" s="105">
        <f>D104/D102*100</f>
        <v>88.08999407933692</v>
      </c>
      <c r="F104" s="105">
        <f aca="true" t="shared" si="17" ref="F104:F152">D104/B104*100</f>
        <v>84.92652729762938</v>
      </c>
      <c r="G104" s="105">
        <f t="shared" si="14"/>
        <v>70.48034107058268</v>
      </c>
      <c r="H104" s="103">
        <f t="shared" si="15"/>
        <v>1320.3716399999985</v>
      </c>
      <c r="I104" s="103">
        <f t="shared" si="16"/>
        <v>3115.7999999999984</v>
      </c>
      <c r="J104" s="165"/>
      <c r="K104" s="152"/>
    </row>
    <row r="105" spans="1:11" s="93" customFormat="1" ht="54.75" hidden="1" thickBot="1">
      <c r="A105" s="121" t="s">
        <v>79</v>
      </c>
      <c r="B105" s="122"/>
      <c r="C105" s="122"/>
      <c r="D105" s="122"/>
      <c r="E105" s="123">
        <f>D105/D102*100</f>
        <v>0</v>
      </c>
      <c r="F105" s="123" t="e">
        <f>D105/B105*100</f>
        <v>#DIV/0!</v>
      </c>
      <c r="G105" s="123" t="e">
        <f>D105/C105*100</f>
        <v>#DIV/0!</v>
      </c>
      <c r="H105" s="124">
        <f t="shared" si="15"/>
        <v>0</v>
      </c>
      <c r="I105" s="124">
        <f>C105-D105</f>
        <v>0</v>
      </c>
      <c r="J105" s="165"/>
      <c r="K105" s="152"/>
    </row>
    <row r="106" spans="1:11" s="93" customFormat="1" ht="18.75" thickBot="1">
      <c r="A106" s="121" t="s">
        <v>27</v>
      </c>
      <c r="B106" s="122">
        <f>B102-B103-B104</f>
        <v>1752.360779999999</v>
      </c>
      <c r="C106" s="122">
        <f>C102-C103-C104</f>
        <v>1978.800000000001</v>
      </c>
      <c r="D106" s="122">
        <f>D102-D103-D104</f>
        <v>850.0999999999958</v>
      </c>
      <c r="E106" s="123">
        <f>D106/D102*100</f>
        <v>10.066311426879764</v>
      </c>
      <c r="F106" s="123">
        <f t="shared" si="17"/>
        <v>48.51169974256079</v>
      </c>
      <c r="G106" s="123">
        <f t="shared" si="14"/>
        <v>42.960380028299745</v>
      </c>
      <c r="H106" s="124">
        <f t="shared" si="15"/>
        <v>902.2607800000033</v>
      </c>
      <c r="I106" s="124">
        <f t="shared" si="16"/>
        <v>1128.7000000000053</v>
      </c>
      <c r="J106" s="165"/>
      <c r="K106" s="152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417489.57267999987</v>
      </c>
      <c r="C107" s="67">
        <f>SUM(C108:C151)-C115-C120+C152-C142-C143-C109-C112-C123-C124-C140-C133-C131-C138-C118</f>
        <v>565114.1999999998</v>
      </c>
      <c r="D107" s="67">
        <f>SUM(D108:D151)-D115-D120+D152-D142-D143-D109-D112-D123-D124-D140-D133-D131-D138-D118</f>
        <v>272738.89999999997</v>
      </c>
      <c r="E107" s="68">
        <f>D107/D154*100</f>
        <v>21.417385248204027</v>
      </c>
      <c r="F107" s="68">
        <f>D107/B107*100</f>
        <v>65.32831424967125</v>
      </c>
      <c r="G107" s="68">
        <f t="shared" si="14"/>
        <v>48.262616653412714</v>
      </c>
      <c r="H107" s="67">
        <f t="shared" si="15"/>
        <v>144750.6726799999</v>
      </c>
      <c r="I107" s="67">
        <f t="shared" si="16"/>
        <v>292375.2999999999</v>
      </c>
      <c r="J107" s="163"/>
      <c r="K107" s="152"/>
      <c r="L107" s="96"/>
    </row>
    <row r="108" spans="1:12" s="93" customFormat="1" ht="37.5">
      <c r="A108" s="97" t="s">
        <v>52</v>
      </c>
      <c r="B108" s="159">
        <v>2850.821</v>
      </c>
      <c r="C108" s="156">
        <v>4459</v>
      </c>
      <c r="D108" s="98">
        <f>17.1+81.1+17.3+60.5+173.3+3.4+2+0.4+29.3+1.7+177.1+0.8+38.8+139.8+0.3+1.9+1.8+6.5+136+91.3+0.1+1.8+1.1+2.4+3.5+2+3.4+72.2+73.1+42.5+21.2+13.2+0.2+17.6-34.7+31.4+109.2+11.6+31.6+1.8+1.8+136.5+26+0.7+9.8+16+6.4+2.3+33+154.5+0.1-4.6+4.8+5</f>
        <v>1777.8999999999994</v>
      </c>
      <c r="E108" s="99">
        <f>D108/D107*100</f>
        <v>0.6518688753236153</v>
      </c>
      <c r="F108" s="99">
        <f t="shared" si="17"/>
        <v>62.36449079054769</v>
      </c>
      <c r="G108" s="99">
        <f t="shared" si="14"/>
        <v>39.87216864767884</v>
      </c>
      <c r="H108" s="100">
        <f t="shared" si="15"/>
        <v>1072.9210000000005</v>
      </c>
      <c r="I108" s="100">
        <f t="shared" si="16"/>
        <v>2681.1000000000004</v>
      </c>
      <c r="K108" s="182"/>
      <c r="L108" s="183"/>
    </row>
    <row r="109" spans="1:12" s="93" customFormat="1" ht="18.75">
      <c r="A109" s="101" t="s">
        <v>25</v>
      </c>
      <c r="B109" s="102">
        <v>1232.161</v>
      </c>
      <c r="C109" s="103">
        <v>1995</v>
      </c>
      <c r="D109" s="104">
        <f>47.8+0.9+59.7+88.3+0.1+59.2+38.8+107.4+24+91.1+38+42.5+2+31.4+47.6+36.5-21.6</f>
        <v>693.7</v>
      </c>
      <c r="E109" s="105">
        <f>D109/D108*100</f>
        <v>39.01794251645201</v>
      </c>
      <c r="F109" s="105">
        <f t="shared" si="17"/>
        <v>56.299460865909566</v>
      </c>
      <c r="G109" s="105">
        <f t="shared" si="14"/>
        <v>34.771929824561404</v>
      </c>
      <c r="H109" s="103">
        <f aca="true" t="shared" si="18" ref="H109:H152">B109-D109</f>
        <v>538.461</v>
      </c>
      <c r="I109" s="103">
        <f t="shared" si="16"/>
        <v>1301.3</v>
      </c>
      <c r="K109" s="182"/>
      <c r="L109" s="183"/>
    </row>
    <row r="110" spans="1:12" s="93" customFormat="1" ht="34.5" customHeight="1" hidden="1">
      <c r="A110" s="106" t="s">
        <v>78</v>
      </c>
      <c r="B110" s="158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82"/>
      <c r="L110" s="183"/>
    </row>
    <row r="111" spans="1:12" s="94" customFormat="1" ht="34.5" customHeight="1">
      <c r="A111" s="106" t="s">
        <v>93</v>
      </c>
      <c r="B111" s="160">
        <v>155.434</v>
      </c>
      <c r="C111" s="107">
        <v>200</v>
      </c>
      <c r="D111" s="108"/>
      <c r="E111" s="99">
        <f>D111/D107*100</f>
        <v>0</v>
      </c>
      <c r="F111" s="109">
        <f t="shared" si="17"/>
        <v>0</v>
      </c>
      <c r="G111" s="99">
        <f t="shared" si="14"/>
        <v>0</v>
      </c>
      <c r="H111" s="100">
        <f t="shared" si="18"/>
        <v>155.434</v>
      </c>
      <c r="I111" s="100">
        <f t="shared" si="16"/>
        <v>200</v>
      </c>
      <c r="K111" s="182"/>
      <c r="L111" s="183"/>
    </row>
    <row r="112" spans="1:12" s="93" customFormat="1" ht="18.75" hidden="1">
      <c r="A112" s="101" t="s">
        <v>25</v>
      </c>
      <c r="B112" s="157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82"/>
      <c r="L112" s="183"/>
    </row>
    <row r="113" spans="1:12" s="93" customFormat="1" ht="18.75">
      <c r="A113" s="106" t="s">
        <v>89</v>
      </c>
      <c r="B113" s="160">
        <v>64.296</v>
      </c>
      <c r="C113" s="100">
        <v>64.3</v>
      </c>
      <c r="D113" s="98">
        <f>6.8+7+3.6</f>
        <v>17.400000000000002</v>
      </c>
      <c r="E113" s="99">
        <f>D113/D107*100</f>
        <v>0.0063797280109291355</v>
      </c>
      <c r="F113" s="99">
        <f t="shared" si="17"/>
        <v>27.062336692795817</v>
      </c>
      <c r="G113" s="99">
        <f t="shared" si="14"/>
        <v>27.06065318818041</v>
      </c>
      <c r="H113" s="100">
        <f t="shared" si="18"/>
        <v>46.896</v>
      </c>
      <c r="I113" s="100">
        <f t="shared" si="16"/>
        <v>46.89999999999999</v>
      </c>
      <c r="K113" s="182"/>
      <c r="L113" s="183"/>
    </row>
    <row r="114" spans="1:12" s="93" customFormat="1" ht="37.5">
      <c r="A114" s="106" t="s">
        <v>38</v>
      </c>
      <c r="B114" s="160">
        <v>2513.331</v>
      </c>
      <c r="C114" s="100">
        <v>3311.5</v>
      </c>
      <c r="D114" s="98">
        <f>136.4+10+40+6.6+6.1+0.2+177.4+10+1.8+25.1+29.4+48.1+8.1+193.1+10+0.1+17.8+8.8+132.4+79.7+12.6+4.3+3.5+212.4+8.1+0.4+10.8+218.3+5.3+16.4+166.6+54.3+12.8+52.1+1.1+0.2+214.8+15.7</f>
        <v>1950.7999999999997</v>
      </c>
      <c r="E114" s="99">
        <f>D114/D107*100</f>
        <v>0.7152628392942848</v>
      </c>
      <c r="F114" s="99">
        <f t="shared" si="17"/>
        <v>77.61810919453107</v>
      </c>
      <c r="G114" s="99">
        <f t="shared" si="14"/>
        <v>58.90985958025063</v>
      </c>
      <c r="H114" s="100">
        <f t="shared" si="18"/>
        <v>562.5310000000004</v>
      </c>
      <c r="I114" s="100">
        <f t="shared" si="16"/>
        <v>1360.7000000000003</v>
      </c>
      <c r="K114" s="182"/>
      <c r="L114" s="183"/>
    </row>
    <row r="115" spans="1:12" s="93" customFormat="1" ht="18.75" hidden="1">
      <c r="A115" s="110" t="s">
        <v>43</v>
      </c>
      <c r="B115" s="157"/>
      <c r="C115" s="103"/>
      <c r="D115" s="104"/>
      <c r="E115" s="99"/>
      <c r="F115" s="99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82"/>
      <c r="L115" s="183"/>
    </row>
    <row r="116" spans="1:12" s="94" customFormat="1" ht="18.75" customHeight="1" hidden="1">
      <c r="A116" s="106" t="s">
        <v>90</v>
      </c>
      <c r="B116" s="158"/>
      <c r="C116" s="107"/>
      <c r="D116" s="108"/>
      <c r="E116" s="111">
        <f>D116/D107*100</f>
        <v>0</v>
      </c>
      <c r="F116" s="99" t="e">
        <f t="shared" si="17"/>
        <v>#DIV/0!</v>
      </c>
      <c r="G116" s="111" t="e">
        <f t="shared" si="14"/>
        <v>#DIV/0!</v>
      </c>
      <c r="H116" s="107">
        <f t="shared" si="18"/>
        <v>0</v>
      </c>
      <c r="I116" s="107">
        <f t="shared" si="16"/>
        <v>0</v>
      </c>
      <c r="K116" s="182"/>
      <c r="L116" s="183"/>
    </row>
    <row r="117" spans="1:12" s="93" customFormat="1" ht="37.5">
      <c r="A117" s="106" t="s">
        <v>47</v>
      </c>
      <c r="B117" s="160">
        <v>200</v>
      </c>
      <c r="C117" s="100">
        <v>200</v>
      </c>
      <c r="D117" s="98">
        <f>15+40+1.2+1.8</f>
        <v>58</v>
      </c>
      <c r="E117" s="99">
        <f>D117/D107*100</f>
        <v>0.02126576003643045</v>
      </c>
      <c r="F117" s="99">
        <f>D117/B117*100</f>
        <v>28.999999999999996</v>
      </c>
      <c r="G117" s="99">
        <f t="shared" si="14"/>
        <v>28.999999999999996</v>
      </c>
      <c r="H117" s="100">
        <f t="shared" si="18"/>
        <v>142</v>
      </c>
      <c r="I117" s="100">
        <f t="shared" si="16"/>
        <v>142</v>
      </c>
      <c r="K117" s="182"/>
      <c r="L117" s="183"/>
    </row>
    <row r="118" spans="1:12" s="93" customFormat="1" ht="18.75">
      <c r="A118" s="110" t="s">
        <v>88</v>
      </c>
      <c r="B118" s="170">
        <v>40</v>
      </c>
      <c r="C118" s="171">
        <v>40</v>
      </c>
      <c r="D118" s="104">
        <v>40</v>
      </c>
      <c r="E118" s="105">
        <f>D118/D117*100</f>
        <v>68.96551724137932</v>
      </c>
      <c r="F118" s="105">
        <f>D118/B118*100</f>
        <v>100</v>
      </c>
      <c r="G118" s="105">
        <f>D118/C118*100</f>
        <v>100</v>
      </c>
      <c r="H118" s="103">
        <f>B118-D118</f>
        <v>0</v>
      </c>
      <c r="I118" s="103">
        <f>C118-D118</f>
        <v>0</v>
      </c>
      <c r="K118" s="182"/>
      <c r="L118" s="183"/>
    </row>
    <row r="119" spans="1:12" s="112" customFormat="1" ht="18.75">
      <c r="A119" s="106" t="s">
        <v>15</v>
      </c>
      <c r="B119" s="160">
        <v>335.611</v>
      </c>
      <c r="C119" s="107">
        <v>491.6</v>
      </c>
      <c r="D119" s="98">
        <f>45.4+9.9+47+6.4+0.4+0.4+45.4+0.4+2.9+45.4+4+6.8+0.4+45.4+0.1+5.8+0.8+0.4+0.8+0.7+13+0.4</f>
        <v>282.20000000000005</v>
      </c>
      <c r="E119" s="99">
        <f>D119/D107*100</f>
        <v>0.10346892210828748</v>
      </c>
      <c r="F119" s="99">
        <f t="shared" si="17"/>
        <v>84.08544416005437</v>
      </c>
      <c r="G119" s="99">
        <f t="shared" si="14"/>
        <v>57.40439381611067</v>
      </c>
      <c r="H119" s="100">
        <f t="shared" si="18"/>
        <v>53.410999999999945</v>
      </c>
      <c r="I119" s="100">
        <f t="shared" si="16"/>
        <v>209.39999999999998</v>
      </c>
      <c r="K119" s="182"/>
      <c r="L119" s="183"/>
    </row>
    <row r="120" spans="1:12" s="113" customFormat="1" ht="18.75">
      <c r="A120" s="110" t="s">
        <v>43</v>
      </c>
      <c r="B120" s="102">
        <v>272.525</v>
      </c>
      <c r="C120" s="103">
        <v>408.8</v>
      </c>
      <c r="D120" s="104">
        <f>45.4+45.4+45.4+45.4+45.4+0.1</f>
        <v>227.1</v>
      </c>
      <c r="E120" s="105">
        <f>D120/D119*100</f>
        <v>80.47484053862507</v>
      </c>
      <c r="F120" s="105">
        <f t="shared" si="17"/>
        <v>83.3318044216127</v>
      </c>
      <c r="G120" s="105">
        <f t="shared" si="14"/>
        <v>55.55283757338552</v>
      </c>
      <c r="H120" s="103">
        <f t="shared" si="18"/>
        <v>45.42499999999998</v>
      </c>
      <c r="I120" s="103">
        <f t="shared" si="16"/>
        <v>181.70000000000002</v>
      </c>
      <c r="K120" s="182"/>
      <c r="L120" s="183"/>
    </row>
    <row r="121" spans="1:12" s="112" customFormat="1" ht="18.75">
      <c r="A121" s="106" t="s">
        <v>105</v>
      </c>
      <c r="B121" s="160">
        <v>245</v>
      </c>
      <c r="C121" s="107">
        <v>317</v>
      </c>
      <c r="D121" s="98">
        <v>3.6</v>
      </c>
      <c r="E121" s="99">
        <f>D121/D107*100</f>
        <v>0.0013199437263991315</v>
      </c>
      <c r="F121" s="99">
        <f t="shared" si="17"/>
        <v>1.469387755102041</v>
      </c>
      <c r="G121" s="99">
        <f t="shared" si="14"/>
        <v>1.135646687697161</v>
      </c>
      <c r="H121" s="100">
        <f t="shared" si="18"/>
        <v>241.4</v>
      </c>
      <c r="I121" s="100">
        <f t="shared" si="16"/>
        <v>313.4</v>
      </c>
      <c r="K121" s="182"/>
      <c r="L121" s="183"/>
    </row>
    <row r="122" spans="1:12" s="112" customFormat="1" ht="21.75" customHeight="1">
      <c r="A122" s="106" t="s">
        <v>94</v>
      </c>
      <c r="B122" s="160">
        <v>559.999</v>
      </c>
      <c r="C122" s="107">
        <f>480+80</f>
        <v>560</v>
      </c>
      <c r="D122" s="108">
        <f>12+360.2+19.8</f>
        <v>392</v>
      </c>
      <c r="E122" s="111">
        <f>D122/D107*100</f>
        <v>0.14372720576346096</v>
      </c>
      <c r="F122" s="99">
        <f t="shared" si="17"/>
        <v>70.0001250002232</v>
      </c>
      <c r="G122" s="99">
        <f t="shared" si="14"/>
        <v>70</v>
      </c>
      <c r="H122" s="100">
        <f t="shared" si="18"/>
        <v>167.99900000000002</v>
      </c>
      <c r="I122" s="100">
        <f t="shared" si="16"/>
        <v>168</v>
      </c>
      <c r="J122" s="163"/>
      <c r="K122" s="182"/>
      <c r="L122" s="183"/>
    </row>
    <row r="123" spans="1:12" s="115" customFormat="1" ht="18.75" hidden="1">
      <c r="A123" s="101" t="s">
        <v>80</v>
      </c>
      <c r="B123" s="157"/>
      <c r="C123" s="103"/>
      <c r="D123" s="104"/>
      <c r="E123" s="99"/>
      <c r="F123" s="114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82"/>
      <c r="L123" s="183"/>
    </row>
    <row r="124" spans="1:12" s="115" customFormat="1" ht="18.75" hidden="1">
      <c r="A124" s="101" t="s">
        <v>49</v>
      </c>
      <c r="B124" s="157"/>
      <c r="C124" s="103"/>
      <c r="D124" s="104"/>
      <c r="E124" s="99"/>
      <c r="F124" s="105" t="e">
        <f>D124/B124*100</f>
        <v>#DIV/0!</v>
      </c>
      <c r="G124" s="105" t="e">
        <f t="shared" si="14"/>
        <v>#DIV/0!</v>
      </c>
      <c r="H124" s="103">
        <f t="shared" si="18"/>
        <v>0</v>
      </c>
      <c r="I124" s="103">
        <f t="shared" si="16"/>
        <v>0</v>
      </c>
      <c r="K124" s="182"/>
      <c r="L124" s="183"/>
    </row>
    <row r="125" spans="1:12" s="112" customFormat="1" ht="37.5">
      <c r="A125" s="106" t="s">
        <v>95</v>
      </c>
      <c r="B125" s="160">
        <f>34989.8+800</f>
        <v>35789.8</v>
      </c>
      <c r="C125" s="107">
        <v>45511.3</v>
      </c>
      <c r="D125" s="108">
        <f>3529.6+2264.3+1265.3+2996.5+533.1+738.7+2380.2+1722.3+1049.4+1874.1+1476.2+1455.5+94.4+1416+1268.6+1913.6+457.2+1108.2+2510.4+39.4+1337.2+1221+3120.4</f>
        <v>35771.600000000006</v>
      </c>
      <c r="E125" s="111">
        <f>D125/D107*100</f>
        <v>13.115694167571993</v>
      </c>
      <c r="F125" s="99">
        <f t="shared" si="17"/>
        <v>99.94914752247848</v>
      </c>
      <c r="G125" s="99">
        <f t="shared" si="14"/>
        <v>78.59938081311675</v>
      </c>
      <c r="H125" s="100">
        <f t="shared" si="18"/>
        <v>18.19999999999709</v>
      </c>
      <c r="I125" s="100">
        <f t="shared" si="16"/>
        <v>9739.699999999997</v>
      </c>
      <c r="K125" s="182"/>
      <c r="L125" s="183"/>
    </row>
    <row r="126" spans="1:12" s="112" customFormat="1" ht="18.75">
      <c r="A126" s="106" t="s">
        <v>91</v>
      </c>
      <c r="B126" s="160">
        <v>675</v>
      </c>
      <c r="C126" s="107">
        <v>700</v>
      </c>
      <c r="D126" s="108">
        <f>9.6+1.5</f>
        <v>11.1</v>
      </c>
      <c r="E126" s="111">
        <f>D126/D107*100</f>
        <v>0.004069826489730655</v>
      </c>
      <c r="F126" s="99">
        <f t="shared" si="17"/>
        <v>1.6444444444444446</v>
      </c>
      <c r="G126" s="99">
        <f t="shared" si="14"/>
        <v>1.5857142857142859</v>
      </c>
      <c r="H126" s="100">
        <f t="shared" si="18"/>
        <v>663.9</v>
      </c>
      <c r="I126" s="100">
        <f t="shared" si="16"/>
        <v>688.9</v>
      </c>
      <c r="K126" s="182"/>
      <c r="L126" s="183"/>
    </row>
    <row r="127" spans="1:12" s="112" customFormat="1" ht="37.5">
      <c r="A127" s="106" t="s">
        <v>100</v>
      </c>
      <c r="B127" s="160">
        <v>172</v>
      </c>
      <c r="C127" s="107">
        <v>200</v>
      </c>
      <c r="D127" s="108">
        <f>63.1+15.9</f>
        <v>79</v>
      </c>
      <c r="E127" s="111">
        <f>D127/D107*100</f>
        <v>0.028965431773758713</v>
      </c>
      <c r="F127" s="99">
        <f t="shared" si="17"/>
        <v>45.93023255813954</v>
      </c>
      <c r="G127" s="99">
        <f t="shared" si="14"/>
        <v>39.5</v>
      </c>
      <c r="H127" s="100">
        <f t="shared" si="18"/>
        <v>93</v>
      </c>
      <c r="I127" s="100">
        <f t="shared" si="16"/>
        <v>121</v>
      </c>
      <c r="K127" s="182"/>
      <c r="L127" s="183"/>
    </row>
    <row r="128" spans="1:12" s="112" customFormat="1" ht="37.5">
      <c r="A128" s="106" t="s">
        <v>85</v>
      </c>
      <c r="B128" s="160">
        <v>111.1</v>
      </c>
      <c r="C128" s="107">
        <f>111.1</f>
        <v>111.1</v>
      </c>
      <c r="D128" s="108">
        <v>34.5</v>
      </c>
      <c r="E128" s="111">
        <f>D128/D107*100</f>
        <v>0.012649460711325007</v>
      </c>
      <c r="F128" s="99">
        <f t="shared" si="17"/>
        <v>31.053105310531055</v>
      </c>
      <c r="G128" s="99">
        <f t="shared" si="14"/>
        <v>31.053105310531055</v>
      </c>
      <c r="H128" s="100">
        <f t="shared" si="18"/>
        <v>76.6</v>
      </c>
      <c r="I128" s="100">
        <f t="shared" si="16"/>
        <v>76.6</v>
      </c>
      <c r="K128" s="182"/>
      <c r="L128" s="183"/>
    </row>
    <row r="129" spans="1:12" s="112" customFormat="1" ht="18.75" hidden="1">
      <c r="A129" s="110" t="s">
        <v>83</v>
      </c>
      <c r="B129" s="158"/>
      <c r="C129" s="107"/>
      <c r="D129" s="108"/>
      <c r="E129" s="111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82"/>
      <c r="L129" s="183"/>
    </row>
    <row r="130" spans="1:12" s="112" customFormat="1" ht="37.5">
      <c r="A130" s="106" t="s">
        <v>57</v>
      </c>
      <c r="B130" s="160">
        <v>776.865</v>
      </c>
      <c r="C130" s="107">
        <v>942</v>
      </c>
      <c r="D130" s="108">
        <f>7+4.2+0.1+12.3+0.2+7.1+17.8+14.9+1.7+0.1+7.4+7+2.7+3.7+7.1+5.3+31.3+16.4+2.5+1.7+26.7+0.1+13.8+0.1+2.9+6.5+0.6+7+4.8+0.1+17.3+0.5+7.6+29.1+0.2+0.1+7.4+1+0.1+0.2+0.1+0.4+7.4+2.8+0.8</f>
        <v>288.1</v>
      </c>
      <c r="E130" s="111">
        <f>D130/D107*100</f>
        <v>0.10563216321544161</v>
      </c>
      <c r="F130" s="99">
        <f t="shared" si="17"/>
        <v>37.08495040965934</v>
      </c>
      <c r="G130" s="99">
        <f t="shared" si="14"/>
        <v>30.58386411889597</v>
      </c>
      <c r="H130" s="100">
        <f t="shared" si="18"/>
        <v>488.765</v>
      </c>
      <c r="I130" s="100">
        <f t="shared" si="16"/>
        <v>653.9</v>
      </c>
      <c r="K130" s="182"/>
      <c r="L130" s="183"/>
    </row>
    <row r="131" spans="1:12" s="113" customFormat="1" ht="18.75">
      <c r="A131" s="101" t="s">
        <v>88</v>
      </c>
      <c r="B131" s="102">
        <v>418.65</v>
      </c>
      <c r="C131" s="103">
        <v>510.8</v>
      </c>
      <c r="D131" s="104">
        <f>7+7.1+7+7.1+7+7+7.4+7.4</f>
        <v>57</v>
      </c>
      <c r="E131" s="105">
        <f>D131/D130*100</f>
        <v>19.784796945505033</v>
      </c>
      <c r="F131" s="105">
        <f>D131/B131*100</f>
        <v>13.61519168756718</v>
      </c>
      <c r="G131" s="105">
        <f t="shared" si="14"/>
        <v>11.15896632732968</v>
      </c>
      <c r="H131" s="103">
        <f t="shared" si="18"/>
        <v>361.65</v>
      </c>
      <c r="I131" s="103">
        <f t="shared" si="16"/>
        <v>453.8</v>
      </c>
      <c r="K131" s="182"/>
      <c r="L131" s="183"/>
    </row>
    <row r="132" spans="1:12" s="112" customFormat="1" ht="37.5">
      <c r="A132" s="106" t="s">
        <v>103</v>
      </c>
      <c r="B132" s="160">
        <v>350</v>
      </c>
      <c r="C132" s="107">
        <v>485</v>
      </c>
      <c r="D132" s="108"/>
      <c r="E132" s="111">
        <f>D132/D107*100</f>
        <v>0</v>
      </c>
      <c r="F132" s="109">
        <f t="shared" si="17"/>
        <v>0</v>
      </c>
      <c r="G132" s="99">
        <f t="shared" si="14"/>
        <v>0</v>
      </c>
      <c r="H132" s="100">
        <f t="shared" si="18"/>
        <v>350</v>
      </c>
      <c r="I132" s="100">
        <f t="shared" si="16"/>
        <v>485</v>
      </c>
      <c r="K132" s="182"/>
      <c r="L132" s="183"/>
    </row>
    <row r="133" spans="1:12" s="113" customFormat="1" ht="18.75" hidden="1">
      <c r="A133" s="110" t="s">
        <v>43</v>
      </c>
      <c r="B133" s="157"/>
      <c r="C133" s="103"/>
      <c r="D133" s="104"/>
      <c r="E133" s="105"/>
      <c r="F133" s="105" t="e">
        <f>D133/B133*100</f>
        <v>#DIV/0!</v>
      </c>
      <c r="G133" s="105" t="e">
        <f t="shared" si="14"/>
        <v>#DIV/0!</v>
      </c>
      <c r="H133" s="103">
        <f t="shared" si="18"/>
        <v>0</v>
      </c>
      <c r="I133" s="103">
        <f t="shared" si="16"/>
        <v>0</v>
      </c>
      <c r="K133" s="182"/>
      <c r="L133" s="183"/>
    </row>
    <row r="134" spans="1:12" s="112" customFormat="1" ht="35.25" customHeight="1" hidden="1">
      <c r="A134" s="106" t="s">
        <v>102</v>
      </c>
      <c r="B134" s="158"/>
      <c r="C134" s="107"/>
      <c r="D134" s="108"/>
      <c r="E134" s="111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82"/>
      <c r="L134" s="183"/>
    </row>
    <row r="135" spans="1:12" s="112" customFormat="1" ht="21.75" customHeight="1" hidden="1">
      <c r="A135" s="106" t="s">
        <v>101</v>
      </c>
      <c r="B135" s="158"/>
      <c r="C135" s="107"/>
      <c r="D135" s="108"/>
      <c r="E135" s="111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82"/>
      <c r="L135" s="183"/>
    </row>
    <row r="136" spans="1:12" s="112" customFormat="1" ht="35.25" customHeight="1">
      <c r="A136" s="106" t="s">
        <v>87</v>
      </c>
      <c r="B136" s="160">
        <v>280</v>
      </c>
      <c r="C136" s="107">
        <v>383.2</v>
      </c>
      <c r="D136" s="108">
        <f>2.9+1.5+9.7+8.2+0.2-0.4+16+13.6+102.3+20.9</f>
        <v>174.9</v>
      </c>
      <c r="E136" s="111">
        <f>D136/D107*100</f>
        <v>0.06412726604089114</v>
      </c>
      <c r="F136" s="99">
        <f t="shared" si="17"/>
        <v>62.464285714285715</v>
      </c>
      <c r="G136" s="99">
        <f t="shared" si="14"/>
        <v>45.6419624217119</v>
      </c>
      <c r="H136" s="100">
        <f t="shared" si="18"/>
        <v>105.1</v>
      </c>
      <c r="I136" s="100">
        <f t="shared" si="16"/>
        <v>208.29999999999998</v>
      </c>
      <c r="K136" s="182"/>
      <c r="L136" s="183"/>
    </row>
    <row r="137" spans="1:12" s="112" customFormat="1" ht="39" customHeight="1">
      <c r="A137" s="106" t="s">
        <v>54</v>
      </c>
      <c r="B137" s="160">
        <v>240</v>
      </c>
      <c r="C137" s="107">
        <v>350</v>
      </c>
      <c r="D137" s="108">
        <f>3.7+1.9+30+0.6+12.1+11.2</f>
        <v>59.5</v>
      </c>
      <c r="E137" s="111">
        <f>D137/D107*100</f>
        <v>0.021815736589096756</v>
      </c>
      <c r="F137" s="99">
        <f t="shared" si="17"/>
        <v>24.791666666666668</v>
      </c>
      <c r="G137" s="99">
        <f t="shared" si="14"/>
        <v>17</v>
      </c>
      <c r="H137" s="100">
        <f t="shared" si="18"/>
        <v>180.5</v>
      </c>
      <c r="I137" s="100">
        <f t="shared" si="16"/>
        <v>290.5</v>
      </c>
      <c r="K137" s="182"/>
      <c r="L137" s="183"/>
    </row>
    <row r="138" spans="1:12" s="113" customFormat="1" ht="18.75">
      <c r="A138" s="101" t="s">
        <v>88</v>
      </c>
      <c r="B138" s="102">
        <v>74</v>
      </c>
      <c r="C138" s="103">
        <v>110</v>
      </c>
      <c r="D138" s="104">
        <f>3.7+1.9+12.1+11.1</f>
        <v>28.799999999999997</v>
      </c>
      <c r="E138" s="105"/>
      <c r="F138" s="99">
        <f>D138/B138*100</f>
        <v>38.91891891891891</v>
      </c>
      <c r="G138" s="105">
        <f>D138/C138*100</f>
        <v>26.18181818181818</v>
      </c>
      <c r="H138" s="103">
        <f>B138-D138</f>
        <v>45.2</v>
      </c>
      <c r="I138" s="103">
        <f>C138-D138</f>
        <v>81.2</v>
      </c>
      <c r="K138" s="182"/>
      <c r="L138" s="183"/>
    </row>
    <row r="139" spans="1:12" s="112" customFormat="1" ht="32.25" customHeight="1">
      <c r="A139" s="106" t="s">
        <v>84</v>
      </c>
      <c r="B139" s="160">
        <v>455.3</v>
      </c>
      <c r="C139" s="107">
        <v>607.7</v>
      </c>
      <c r="D139" s="108">
        <f>76+0.3+41+44+1.8+16.3+2.4+30+0.6+0.2+27.4+0.2+4.5-0.2+31.4+4.5+7.9+26.6+4.5+0.5+26.6+0.3+4.3</f>
        <v>351.1000000000001</v>
      </c>
      <c r="E139" s="111">
        <f>D139/D107*100</f>
        <v>0.12873117842742643</v>
      </c>
      <c r="F139" s="99">
        <f>D139/B139*100</f>
        <v>77.11399077531298</v>
      </c>
      <c r="G139" s="99">
        <f>D139/C139*100</f>
        <v>57.77521803521475</v>
      </c>
      <c r="H139" s="100">
        <f t="shared" si="18"/>
        <v>104.19999999999993</v>
      </c>
      <c r="I139" s="100">
        <f t="shared" si="16"/>
        <v>256.59999999999997</v>
      </c>
      <c r="K139" s="182"/>
      <c r="L139" s="183"/>
    </row>
    <row r="140" spans="1:12" s="113" customFormat="1" ht="18.75">
      <c r="A140" s="101" t="s">
        <v>25</v>
      </c>
      <c r="B140" s="102">
        <v>365.2</v>
      </c>
      <c r="C140" s="103">
        <v>489.6</v>
      </c>
      <c r="D140" s="104">
        <f>76+37.6+44+1.2+0.7+30+27.4+30.6+0.6+26+0.5+26</f>
        <v>300.59999999999997</v>
      </c>
      <c r="E140" s="105">
        <f>D140/D139*100</f>
        <v>85.61663343776699</v>
      </c>
      <c r="F140" s="105">
        <f t="shared" si="17"/>
        <v>82.31106243154436</v>
      </c>
      <c r="G140" s="105">
        <f>D140/C140*100</f>
        <v>61.397058823529406</v>
      </c>
      <c r="H140" s="103">
        <f t="shared" si="18"/>
        <v>64.60000000000002</v>
      </c>
      <c r="I140" s="103">
        <f t="shared" si="16"/>
        <v>189.00000000000006</v>
      </c>
      <c r="K140" s="182"/>
      <c r="L140" s="183"/>
    </row>
    <row r="141" spans="1:12" s="112" customFormat="1" ht="18.75">
      <c r="A141" s="106" t="s">
        <v>96</v>
      </c>
      <c r="B141" s="160">
        <v>1374.25878</v>
      </c>
      <c r="C141" s="107">
        <v>1760</v>
      </c>
      <c r="D141" s="108">
        <f>107.3+0.4+30.4+78.2+4.1+36.9+117.9+50.5+112.6+5.2+52.3+10.5+76.8-0.2+10.4+82.9+84+50.5+35.7+3.4+90.4+1.3+74.9+86.3</f>
        <v>1202.7</v>
      </c>
      <c r="E141" s="111">
        <f>D141/D107*100</f>
        <v>0.44097119992784317</v>
      </c>
      <c r="F141" s="99">
        <f t="shared" si="17"/>
        <v>87.51626822424232</v>
      </c>
      <c r="G141" s="99">
        <f t="shared" si="14"/>
        <v>68.33522727272727</v>
      </c>
      <c r="H141" s="100">
        <f t="shared" si="18"/>
        <v>171.55877999999984</v>
      </c>
      <c r="I141" s="100">
        <f t="shared" si="16"/>
        <v>557.3</v>
      </c>
      <c r="J141" s="163"/>
      <c r="K141" s="182"/>
      <c r="L141" s="183"/>
    </row>
    <row r="142" spans="1:12" s="113" customFormat="1" ht="18.75">
      <c r="A142" s="110" t="s">
        <v>43</v>
      </c>
      <c r="B142" s="102">
        <v>1108.84915</v>
      </c>
      <c r="C142" s="103">
        <v>1437.4</v>
      </c>
      <c r="D142" s="104">
        <f>107.3+25.4+76+34+76.6+47.2+83.8+4.5+35.4+76.8-0.2+60.7+81+50.4+90.4+52.9+85</f>
        <v>987.1999999999998</v>
      </c>
      <c r="E142" s="105">
        <f>D142/D141*100</f>
        <v>82.08198220670157</v>
      </c>
      <c r="F142" s="105">
        <f aca="true" t="shared" si="19" ref="F142:F151">D142/B142*100</f>
        <v>89.02924261609434</v>
      </c>
      <c r="G142" s="105">
        <f t="shared" si="14"/>
        <v>68.67956031723944</v>
      </c>
      <c r="H142" s="103">
        <f t="shared" si="18"/>
        <v>121.64915000000019</v>
      </c>
      <c r="I142" s="103">
        <f t="shared" si="16"/>
        <v>450.2000000000003</v>
      </c>
      <c r="J142" s="164"/>
      <c r="K142" s="182"/>
      <c r="L142" s="183"/>
    </row>
    <row r="143" spans="1:13" s="113" customFormat="1" ht="18.75">
      <c r="A143" s="101" t="s">
        <v>25</v>
      </c>
      <c r="B143" s="102">
        <v>28.68</v>
      </c>
      <c r="C143" s="103">
        <v>40</v>
      </c>
      <c r="D143" s="104">
        <f>0.4+4.9+0.7+4.7+3.3+0.4+0.7+0.6+0.1+0.1</f>
        <v>15.899999999999999</v>
      </c>
      <c r="E143" s="105">
        <f>D143/D141*100</f>
        <v>1.3220254427538036</v>
      </c>
      <c r="F143" s="105">
        <f t="shared" si="19"/>
        <v>55.43933054393305</v>
      </c>
      <c r="G143" s="105">
        <f>D143/C143*100</f>
        <v>39.75</v>
      </c>
      <c r="H143" s="103">
        <f t="shared" si="18"/>
        <v>12.780000000000001</v>
      </c>
      <c r="I143" s="103">
        <f t="shared" si="16"/>
        <v>24.1</v>
      </c>
      <c r="J143" s="164"/>
      <c r="K143" s="182"/>
      <c r="L143" s="183"/>
      <c r="M143" s="153"/>
    </row>
    <row r="144" spans="1:12" s="112" customFormat="1" ht="33.75" customHeight="1">
      <c r="A144" s="116" t="s">
        <v>56</v>
      </c>
      <c r="B144" s="160">
        <f>90+7.5+527</f>
        <v>624.5</v>
      </c>
      <c r="C144" s="107">
        <f>90+534.5</f>
        <v>624.5</v>
      </c>
      <c r="D144" s="108">
        <f>7.5+527</f>
        <v>534.5</v>
      </c>
      <c r="E144" s="111">
        <f>D144/D107*100</f>
        <v>0.19597497826675994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J144" s="163"/>
      <c r="K144" s="182"/>
      <c r="L144" s="183"/>
    </row>
    <row r="145" spans="1:12" s="112" customFormat="1" ht="18.75" hidden="1">
      <c r="A145" s="116" t="s">
        <v>92</v>
      </c>
      <c r="B145" s="158"/>
      <c r="C145" s="107"/>
      <c r="D145" s="108"/>
      <c r="E145" s="111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J145" s="163"/>
      <c r="K145" s="182"/>
      <c r="L145" s="183"/>
    </row>
    <row r="146" spans="1:12" s="112" customFormat="1" ht="18.75">
      <c r="A146" s="116" t="s">
        <v>97</v>
      </c>
      <c r="B146" s="160">
        <v>49356.85984</v>
      </c>
      <c r="C146" s="107">
        <f>56447.1-100+1500-3000+10865.4+0.1</f>
        <v>65712.6</v>
      </c>
      <c r="D146" s="108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</f>
        <v>41227.700000000004</v>
      </c>
      <c r="E146" s="111">
        <f>D146/D107*100</f>
        <v>15.116178880240408</v>
      </c>
      <c r="F146" s="99">
        <f t="shared" si="19"/>
        <v>83.52982773549155</v>
      </c>
      <c r="G146" s="99">
        <f t="shared" si="14"/>
        <v>62.739413750178805</v>
      </c>
      <c r="H146" s="100">
        <f t="shared" si="18"/>
        <v>8129.159839999993</v>
      </c>
      <c r="I146" s="100">
        <f t="shared" si="16"/>
        <v>24484.9</v>
      </c>
      <c r="J146" s="163"/>
      <c r="K146" s="182"/>
      <c r="L146" s="183"/>
    </row>
    <row r="147" spans="1:12" s="112" customFormat="1" ht="18.75" hidden="1">
      <c r="A147" s="116" t="s">
        <v>86</v>
      </c>
      <c r="B147" s="158"/>
      <c r="C147" s="107"/>
      <c r="D147" s="108"/>
      <c r="E147" s="111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J147" s="163"/>
      <c r="K147" s="182"/>
      <c r="L147" s="183"/>
    </row>
    <row r="148" spans="1:12" s="112" customFormat="1" ht="37.5" hidden="1">
      <c r="A148" s="116" t="s">
        <v>104</v>
      </c>
      <c r="B148" s="158"/>
      <c r="C148" s="107"/>
      <c r="D148" s="108"/>
      <c r="E148" s="111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J148" s="163"/>
      <c r="K148" s="182"/>
      <c r="L148" s="183"/>
    </row>
    <row r="149" spans="1:12" s="112" customFormat="1" ht="18.75">
      <c r="A149" s="106" t="s">
        <v>98</v>
      </c>
      <c r="B149" s="160">
        <v>128.19706</v>
      </c>
      <c r="C149" s="107">
        <v>162.3</v>
      </c>
      <c r="D149" s="108">
        <f>46.4+43</f>
        <v>89.4</v>
      </c>
      <c r="E149" s="111">
        <f>D149/D107*100</f>
        <v>0.03277860253891176</v>
      </c>
      <c r="F149" s="99">
        <f t="shared" si="19"/>
        <v>69.73638865041055</v>
      </c>
      <c r="G149" s="99">
        <f t="shared" si="14"/>
        <v>55.08317929759704</v>
      </c>
      <c r="H149" s="100">
        <f t="shared" si="18"/>
        <v>38.79705999999999</v>
      </c>
      <c r="I149" s="100">
        <f t="shared" si="16"/>
        <v>72.9</v>
      </c>
      <c r="J149" s="163"/>
      <c r="K149" s="182"/>
      <c r="L149" s="183"/>
    </row>
    <row r="150" spans="1:12" s="112" customFormat="1" ht="18" customHeight="1">
      <c r="A150" s="106" t="s">
        <v>77</v>
      </c>
      <c r="B150" s="160">
        <v>9577.3</v>
      </c>
      <c r="C150" s="107">
        <f>10563.8+657.7</f>
        <v>11221.5</v>
      </c>
      <c r="D150" s="108">
        <f>791.9+575.3+777.6+830.9+722.1+47.7+657.7+821-47.6+744.9+750.8</f>
        <v>6672.299999999999</v>
      </c>
      <c r="E150" s="111">
        <f>D150/D107*100</f>
        <v>2.4464057015702565</v>
      </c>
      <c r="F150" s="99">
        <f t="shared" si="19"/>
        <v>69.66786046171677</v>
      </c>
      <c r="G150" s="99">
        <f t="shared" si="14"/>
        <v>59.45996524528806</v>
      </c>
      <c r="H150" s="100">
        <f t="shared" si="18"/>
        <v>2905</v>
      </c>
      <c r="I150" s="100">
        <f t="shared" si="16"/>
        <v>4549.200000000001</v>
      </c>
      <c r="J150" s="163"/>
      <c r="K150" s="182"/>
      <c r="L150" s="183"/>
    </row>
    <row r="151" spans="1:12" s="112" customFormat="1" ht="19.5" customHeight="1">
      <c r="A151" s="146" t="s">
        <v>50</v>
      </c>
      <c r="B151" s="162">
        <v>278979.8</v>
      </c>
      <c r="C151" s="147">
        <f>350771.5+40351.1-7680.5+12-588.3+1641.8</f>
        <v>384507.6</v>
      </c>
      <c r="D151" s="148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</f>
        <v>153605.8</v>
      </c>
      <c r="E151" s="149">
        <f>D151/D107*100</f>
        <v>56.31972556903324</v>
      </c>
      <c r="F151" s="150">
        <f t="shared" si="19"/>
        <v>55.05982870444384</v>
      </c>
      <c r="G151" s="150">
        <f t="shared" si="14"/>
        <v>39.94870322459166</v>
      </c>
      <c r="H151" s="151">
        <f t="shared" si="18"/>
        <v>125374</v>
      </c>
      <c r="I151" s="151">
        <f>C151-D151</f>
        <v>230901.8</v>
      </c>
      <c r="K151" s="182"/>
      <c r="L151" s="183"/>
    </row>
    <row r="152" spans="1:12" s="112" customFormat="1" ht="18.75">
      <c r="A152" s="106" t="s">
        <v>99</v>
      </c>
      <c r="B152" s="160">
        <v>31674.1</v>
      </c>
      <c r="C152" s="107">
        <v>42232</v>
      </c>
      <c r="D152" s="108">
        <f>819+819+819.1+1062.3+1173.1+1173.1+1173.2+1173.1+1173.1+1173.2+1173.1+1173.1+1173.2+1173.1+1173.1+1173.1+1173.1+1173.1+1173.1+1173.1+1173.1+1173.1+1173.1+1173.1+1173.1</f>
        <v>28154.79999999999</v>
      </c>
      <c r="E152" s="111">
        <f>D152/D107*100</f>
        <v>10.322986563339514</v>
      </c>
      <c r="F152" s="99">
        <f t="shared" si="17"/>
        <v>88.88902920682827</v>
      </c>
      <c r="G152" s="99">
        <f t="shared" si="14"/>
        <v>66.66698238302706</v>
      </c>
      <c r="H152" s="100">
        <f t="shared" si="18"/>
        <v>3519.30000000001</v>
      </c>
      <c r="I152" s="100">
        <f t="shared" si="16"/>
        <v>14077.200000000012</v>
      </c>
      <c r="K152" s="182"/>
      <c r="L152" s="183"/>
    </row>
    <row r="153" spans="1:12" s="2" customFormat="1" ht="19.5" thickBot="1">
      <c r="A153" s="29" t="s">
        <v>29</v>
      </c>
      <c r="B153" s="161"/>
      <c r="C153" s="63"/>
      <c r="D153" s="44">
        <f>D43+D69+D72+D77+D79+D87+D102+D107+D100+D84+D98</f>
        <v>281957.19999999995</v>
      </c>
      <c r="E153" s="15"/>
      <c r="F153" s="15"/>
      <c r="G153" s="6"/>
      <c r="H153" s="52"/>
      <c r="I153" s="44"/>
      <c r="K153" s="182"/>
      <c r="L153" s="184"/>
    </row>
    <row r="154" spans="1:12" ht="19.5" thickBot="1">
      <c r="A154" s="12" t="s">
        <v>18</v>
      </c>
      <c r="B154" s="40">
        <f>B6+B18+B33+B43+B51+B59+B69+B72+B77+B79+B87+B90+B95+B102+B107+B100+B84+B98+B45</f>
        <v>1600641.39419</v>
      </c>
      <c r="C154" s="40">
        <f>C6+C18+C33+C43+C51+C59+C69+C72+C77+C79+C87+C90+C95+C102+C107+C100+C84+C98+C45</f>
        <v>2169047.2999999993</v>
      </c>
      <c r="D154" s="40">
        <f>D6+D18+D33+D43+D51+D59+D69+D72+D77+D79+D87+D90+D95+D102+D107+D100+D84+D98+D45</f>
        <v>1273446.2999999998</v>
      </c>
      <c r="E154" s="28">
        <v>100</v>
      </c>
      <c r="F154" s="3">
        <f>D154/B154*100</f>
        <v>79.55850102479849</v>
      </c>
      <c r="G154" s="3">
        <f aca="true" t="shared" si="20" ref="G154:G160">D154/C154*100</f>
        <v>58.709936846467116</v>
      </c>
      <c r="H154" s="40">
        <f aca="true" t="shared" si="21" ref="H154:H160">B154-D154</f>
        <v>327195.0941900001</v>
      </c>
      <c r="I154" s="40">
        <f aca="true" t="shared" si="22" ref="I154:I160">C154-D154</f>
        <v>895600.9999999995</v>
      </c>
      <c r="K154" s="185"/>
      <c r="L154" s="186"/>
    </row>
    <row r="155" spans="1:12" ht="18.75">
      <c r="A155" s="16" t="s">
        <v>5</v>
      </c>
      <c r="B155" s="51">
        <f>B8+B20+B34+B52+B60+B91+B115+B120+B46+B142+B133+B103</f>
        <v>678897.43495</v>
      </c>
      <c r="C155" s="51">
        <f>C8+C20+C34+C52+C60+C91+C115+C120+C46+C142+C133+C103</f>
        <v>896180.8</v>
      </c>
      <c r="D155" s="51">
        <f>D8+D20+D34+D52+D60+D91+D115+D120+D46+D142+D133+D103</f>
        <v>587546.71</v>
      </c>
      <c r="E155" s="6">
        <f>D155/D154*100</f>
        <v>46.13831851409832</v>
      </c>
      <c r="F155" s="6">
        <f aca="true" t="shared" si="23" ref="F155:F160">D155/B155*100</f>
        <v>86.54425245298975</v>
      </c>
      <c r="G155" s="6">
        <f t="shared" si="20"/>
        <v>65.56118028862032</v>
      </c>
      <c r="H155" s="52">
        <f t="shared" si="21"/>
        <v>91350.72495000006</v>
      </c>
      <c r="I155" s="62">
        <f t="shared" si="22"/>
        <v>308634.0900000001</v>
      </c>
      <c r="K155" s="182"/>
      <c r="L155" s="186"/>
    </row>
    <row r="156" spans="1:12" ht="18.75">
      <c r="A156" s="16" t="s">
        <v>0</v>
      </c>
      <c r="B156" s="52">
        <f>B11+B23+B36+B55+B62+B92+B49+B143+B109+B112+B96+B140+B129</f>
        <v>70312.61764</v>
      </c>
      <c r="C156" s="52">
        <f>C11+C23+C36+C55+C62+C92+C49+C143+C109+C112+C96+C140+C129</f>
        <v>110563.99999999999</v>
      </c>
      <c r="D156" s="52">
        <f>D11+D23+D36+D55+D62+D92+D49+D143+D109+D112+D96+D140+D129</f>
        <v>65125.799999999974</v>
      </c>
      <c r="E156" s="6">
        <f>D156/D154*100</f>
        <v>5.114137910644523</v>
      </c>
      <c r="F156" s="6">
        <f t="shared" si="23"/>
        <v>92.62320503190979</v>
      </c>
      <c r="G156" s="6">
        <f t="shared" si="20"/>
        <v>58.90325965051913</v>
      </c>
      <c r="H156" s="52">
        <f>B156-D156</f>
        <v>5186.817640000023</v>
      </c>
      <c r="I156" s="62">
        <f t="shared" si="22"/>
        <v>45438.20000000001</v>
      </c>
      <c r="K156" s="182"/>
      <c r="L156" s="187"/>
    </row>
    <row r="157" spans="1:12" ht="18.75">
      <c r="A157" s="16" t="s">
        <v>1</v>
      </c>
      <c r="B157" s="51">
        <f>B22+B10+B54+B48+B61+B35+B124</f>
        <v>32382.524999999998</v>
      </c>
      <c r="C157" s="51">
        <f>C22+C10+C54+C48+C61+C35+C124</f>
        <v>45948.3</v>
      </c>
      <c r="D157" s="51">
        <f>D22+D10+D54+D48+D61+D35+D124</f>
        <v>21279.299999999996</v>
      </c>
      <c r="E157" s="6">
        <f>D157/D154*100</f>
        <v>1.6710009680031266</v>
      </c>
      <c r="F157" s="6">
        <f t="shared" si="23"/>
        <v>65.71229389925584</v>
      </c>
      <c r="G157" s="6">
        <f t="shared" si="20"/>
        <v>46.31139781014748</v>
      </c>
      <c r="H157" s="52">
        <f t="shared" si="21"/>
        <v>11103.225000000002</v>
      </c>
      <c r="I157" s="62">
        <f t="shared" si="22"/>
        <v>24669.000000000007</v>
      </c>
      <c r="K157" s="182"/>
      <c r="L157" s="186"/>
    </row>
    <row r="158" spans="1:12" ht="21" customHeight="1">
      <c r="A158" s="16" t="s">
        <v>14</v>
      </c>
      <c r="B158" s="51">
        <f>B12+B24+B104+B63+B38+B93+B131+B56+B138+B118</f>
        <v>24549.921640000004</v>
      </c>
      <c r="C158" s="51">
        <f>C12+C24+C104+C63+C38+C93+C131+C56+C138+C118</f>
        <v>30229.899999999998</v>
      </c>
      <c r="D158" s="51">
        <f>D12+D24+D104+D63+D38+D93+D131+D56+D138+D118</f>
        <v>19086.000000000004</v>
      </c>
      <c r="E158" s="6">
        <f>D158/D154*100</f>
        <v>1.4987675569829688</v>
      </c>
      <c r="F158" s="6">
        <f t="shared" si="23"/>
        <v>77.74362900166064</v>
      </c>
      <c r="G158" s="6">
        <f t="shared" si="20"/>
        <v>63.136166510640145</v>
      </c>
      <c r="H158" s="52">
        <f>B158-D158</f>
        <v>5463.9216400000005</v>
      </c>
      <c r="I158" s="62">
        <f t="shared" si="22"/>
        <v>11143.899999999994</v>
      </c>
      <c r="K158" s="182"/>
      <c r="L158" s="187"/>
    </row>
    <row r="159" spans="1:12" ht="18.75">
      <c r="A159" s="16" t="s">
        <v>2</v>
      </c>
      <c r="B159" s="51">
        <f>B9+B21+B47+B53+B123</f>
        <v>57.89235000000001</v>
      </c>
      <c r="C159" s="51">
        <f>C9+C21+C47+C53+C123</f>
        <v>114.48435</v>
      </c>
      <c r="D159" s="51">
        <f>D9+D21+D47+D53+D123</f>
        <v>22</v>
      </c>
      <c r="E159" s="6">
        <f>D159/D154*100</f>
        <v>0.0017275954235369015</v>
      </c>
      <c r="F159" s="6">
        <f t="shared" si="23"/>
        <v>38.001566700954434</v>
      </c>
      <c r="G159" s="6">
        <f t="shared" si="20"/>
        <v>19.216600347558423</v>
      </c>
      <c r="H159" s="52">
        <f t="shared" si="21"/>
        <v>35.89235000000001</v>
      </c>
      <c r="I159" s="62">
        <f t="shared" si="22"/>
        <v>92.48435</v>
      </c>
      <c r="K159" s="152"/>
      <c r="L159" s="33"/>
    </row>
    <row r="160" spans="1:12" ht="19.5" thickBot="1">
      <c r="A160" s="88" t="s">
        <v>27</v>
      </c>
      <c r="B160" s="64">
        <f>B154-B155-B156-B157-B158-B159</f>
        <v>794441.00261</v>
      </c>
      <c r="C160" s="64">
        <f>C154-C155-C156-C157-C158-C159</f>
        <v>1086009.8156499993</v>
      </c>
      <c r="D160" s="64">
        <f>D154-D155-D156-D157-D158-D159</f>
        <v>580386.4899999999</v>
      </c>
      <c r="E160" s="31">
        <f>D160/D154*100</f>
        <v>45.576047454847526</v>
      </c>
      <c r="F160" s="31">
        <f t="shared" si="23"/>
        <v>73.0559586040045</v>
      </c>
      <c r="G160" s="31">
        <f t="shared" si="20"/>
        <v>53.44210352763953</v>
      </c>
      <c r="H160" s="89">
        <f t="shared" si="21"/>
        <v>214054.5126100001</v>
      </c>
      <c r="I160" s="89">
        <f t="shared" si="22"/>
        <v>505623.32564999943</v>
      </c>
      <c r="K160" s="152"/>
      <c r="L160" s="69"/>
    </row>
    <row r="161" spans="7:8" ht="12.75">
      <c r="G161" s="18"/>
      <c r="H161" s="18"/>
    </row>
    <row r="162" spans="3:11" ht="12.75">
      <c r="C162" s="152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4:8" ht="12.75">
      <c r="D165" s="152"/>
      <c r="G165" s="18"/>
      <c r="H165" s="18"/>
    </row>
    <row r="166" spans="2:8" ht="12.75">
      <c r="B166" s="154"/>
      <c r="C166" s="155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2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2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2169047.2999999993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1273446.2999999998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2169047.2999999993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1273446.2999999998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2018-08-31T13:04:27Z</cp:lastPrinted>
  <dcterms:created xsi:type="dcterms:W3CDTF">2000-06-20T04:48:00Z</dcterms:created>
  <dcterms:modified xsi:type="dcterms:W3CDTF">2018-09-04T13:53:29Z</dcterms:modified>
  <cp:category/>
  <cp:version/>
  <cp:contentType/>
  <cp:contentStatus/>
</cp:coreProperties>
</file>